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44"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<sst xmlns="http://schemas.openxmlformats.org/spreadsheetml/2006/main" count="551" uniqueCount="348">
  <si>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</si>
  <si>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</si>
  <si>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</si>
  <si>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</si>
  <si>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</si>
  <si>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</si>
  <si>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</si>
  <si>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</si>
  <si>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</si>
  <si>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</si>
  <si>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</si>
  <si>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</si>
  <si>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</si>
  <si>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</si>
  <si>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</si>
  <si>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</si>
  <si>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</si>
  <si>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</si>
  <si>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</si>
  <si>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</si>
  <si>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</si>
  <si>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</si>
  <si>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</si>
  <si>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</si>
  <si>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</si>
  <si>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</si>
  <si>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</si>
  <si>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</si>
  <si>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</si>
  <si>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</si>
  <si>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</si>
  <si>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</si>
  <si>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</si>
  <si>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</si>
  <si>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</si>
  <si>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</si>
  <si>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</si>
  <si>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</si>
  <si>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</si>
  <si>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</si>
  <si>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</si>
  <si>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</si>
  <si>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</si>
  <si>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</si>
  <si>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</si>
  <si>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</si>
  <si>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</si>
  <si>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</si>
  <si>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</si>
  <si>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</si>
  <si>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</si>
  <si>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</si>
  <si>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</si>
  <si>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</si>
  <si>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</si>
  <si>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</si>
  <si>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</si>
  <si>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</si>
  <si>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</si>
  <si>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</si>
  <si>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</si>
  <si>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</si>
  <si>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</si>
  <si>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</si>
  <si>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</si>
  <si>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</si>
  <si>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</si>
  <si>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</si>
  <si>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</si>
  <si>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</si>
  <si>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</si>
  <si>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</si>
  <si>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</si>
  <si>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</si>
  <si>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</si>
  <si>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</si>
  <si>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</si>
  <si>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</si>
  <si>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</si>
  <si>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</si>
  <si>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</si>
  <si>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</si>
  <si>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</si>
  <si>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</si>
  <si>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</si>
  <si>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</si>
  <si>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</si>
  <si>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</si>
  <si>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</si>
  <si>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</si>
  <si>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</si>
  <si>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</si>
  <si>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</si>
  <si>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</si>
  <si>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</si>
  <si>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</si>
  <si>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</si>
  <si>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</si>
  <si>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</si>
  <si>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</si>
  <si>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</si>
  <si>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</si>
  <si>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</si>
  <si>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</si>
  <si>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</si>
  <si>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</si>
  <si>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</si>
  <si>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</si>
  <si>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</si>
  <si>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</si>
  <si>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</si>
  <si>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</si>
  <si>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</si>
  <si>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</si>
  <si>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</si>
  <si>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</si>
  <si>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</si>
  <si>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</si>
  <si>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</si>
  <si>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</si>
  <si>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</si>
  <si>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</si>
  <si>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</si>
  <si>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</si>
  <si>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</si>
  <si>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</si>
  <si>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</si>
  <si>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</si>
  <si>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</si>
  <si>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</si>
  <si>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</si>
  <si>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</si>
  <si>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</si>
  <si>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</si>
  <si>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</si>
  <si>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</si>
  <si>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</si>
  <si>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</si>
  <si>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</si>
  <si>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</si>
  <si>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</si>
  <si>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</si>
  <si>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</si>
  <si>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</si>
  <si>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</si>
  <si>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</si>
  <si>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</si>
  <si>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</si>
  <si>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</si>
  <si>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</si>
  <si>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</si>
  <si>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</si>
  <si>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</si>
  <si>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</si>
  <si>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</si>
  <si>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</si>
  <si>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</si>
  <si>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</si>
  <si>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</si>
  <si>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</si>
  <si>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</si>
  <si>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</si>
  <si>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</si>
  <si>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</si>
  <si>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</si>
  <si>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</si>
  <si>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</si>
  <si>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</si>
  <si>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</si>
  <si>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</si>
  <si>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</si>
  <si>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</si>
  <si>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</si>
  <si>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</si>
  <si>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</si>
  <si>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</si>
  <si>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</si>
  <si>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</si>
  <si>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</si>
  <si>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</si>
  <si>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</si>
  <si>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</si>
  <si>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</si>
  <si>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</si>
  <si>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</si>
  <si>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</si>
  <si>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</si>
  <si>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</si>
  <si>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</si>
  <si>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</si>
  <si>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</si>
  <si>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</si>
  <si>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</si>
  <si>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</si>
  <si>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</si>
  <si>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</si>
  <si>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</si>
  <si>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</si>
  <si>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</si>
  <si>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</si>
  <si>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</si>
  <si>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</si>
  <si>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</si>
  <si>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</si>
  <si>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</si>
  <si>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</si>
  <si>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</si>
  <si>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</si>
  <si>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</si>
  <si>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</si>
  <si>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</si>
  <si>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</si>
  <si>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</si>
  <si>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</si>
  <si>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</si>
  <si>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</si>
  <si>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</si>
  <si>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</si>
  <si>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</si>
  <si>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</si>
  <si>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</si>
  <si>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</si>
  <si>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</si>
  <si>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</si>
  <si>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</si>
  <si>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</si>
  <si>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</si>
  <si>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</si>
  <si>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</si>
  <si>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</si>
  <si>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</si>
  <si>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</si>
  <si>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</si>
  <si>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</si>
  <si>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</si>
  <si>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</si>
  <si>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</si>
  <si>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</si>
  <si>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</si>
  <si>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</si>
  <si>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</si>
  <si>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</si>
  <si>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</si>
  <si>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</si>
  <si>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</si>
  <si>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</si>
  <si>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</si>
  <si>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</si>
  <si>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</si>
  <si>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</si>
  <si>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</si>
  <si>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</si>
  <si>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</si>
  <si>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</si>
  <si>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</si>
  <si>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</si>
  <si>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</si>
  <si>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</si>
  <si>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</si>
  <si>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</si>
  <si>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</si>
  <si>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</si>
  <si>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</si>
  <si>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</si>
  <si>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</si>
  <si>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</si>
  <si>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</si>
  <si>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</si>
  <si>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</si>
  <si>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</si>
  <si>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</si>
  <si>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</si>
  <si>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</si>
  <si>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</si>
  <si>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</si>
  <si>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</si>
  <si>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</si>
  <si>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</si>
  <si>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</si>
  <si>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</si>
  <si>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</si>
  <si>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</si>
  <si>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</si>
  <si>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</si>
  <si>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</si>
  <si>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</si>
  <si>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</si>
  <si>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</si>
  <si>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</si>
  <si>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</si>
  <si>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</si>
  <si>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</si>
  <si>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</si>
  <si>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</si>
  <si>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</si>
  <si>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</si>
  <si>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</si>
  <si>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</si>
  <si>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</si>
  <si>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</si>
  <si>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</si>
  <si>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</si>
  <si>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</si>
  <si>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</si>
  <si>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</si>
  <si>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</si>
  <si>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</si>
  <si>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</si>
  <si>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</si>
  <si>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</si>
  <si>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</si>
  <si>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</si>
  <si>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</si>
  <si>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</si>
  <si>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</si>
  <si>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</si>
  <si>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</si>
  <si>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</si>
  <si>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</si>
  <si>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</si>
  <si>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</si>
  <si>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</si>
  <si>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</si>
  <si>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</si>
  <si>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</si>
  <si>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</si>
  <si>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</si>
  <si>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</si>
  <si>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</si>
  <si>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</si>
  <si>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</si>
  <si>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</si>
  <si>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</si>
  <si>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</si>
  <si>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</si>
  <si>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</si>
  <si>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</si>
  <si>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</si>
  <si>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9.49% related to the salary increase for those employees. Schools that employ eligible teachers that participate in other retirement systems should include the actual retirement contribution costs not to exceed the ASRS contribution rate related to the salary increase. </t>
  </si>
  <si>
    <t>Schools participating in the Arizona State Retirement System should budget in object code 6200 at the rate of 11.34% for retirement contributions and 0.16% for long term disability contributions for covered positions. For positions subject to the Alternate Contribution Rate, schools should budget at the rate of 9.49%.</t>
  </si>
  <si>
    <t>Maricopa</t>
  </si>
  <si>
    <t>Steve Durand</t>
  </si>
  <si>
    <t>623-204-4700</t>
  </si>
  <si>
    <t>Steve@durandtech.com</t>
  </si>
  <si>
    <t>Jeff Sawner</t>
  </si>
  <si>
    <t>RCB College Preparatory Academy</t>
  </si>
  <si>
    <t>AIBT Non-Profit Charter High School, Inc.</t>
  </si>
  <si>
    <t>078286000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</si>
</sst>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24325" y="1247775"/>
          <a:ext cx="101917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1">
      <selection activeCell="R2" sqref="R2"/>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346</v>
      </c>
      <c r="E1" s="340"/>
      <c r="F1" s="340"/>
      <c r="G1" s="340"/>
      <c r="H1" s="340"/>
      <c r="I1" s="340"/>
      <c r="J1" s="37"/>
      <c r="K1" s="18"/>
      <c r="L1" s="42" t="s">
        <v>1</v>
      </c>
      <c r="M1" s="344" t="s">
        <v>340</v>
      </c>
      <c r="N1" s="345"/>
      <c r="O1" s="342" t="s">
        <v>91</v>
      </c>
      <c r="P1" s="342"/>
      <c r="Q1" s="342"/>
      <c r="R1" s="255" t="s">
        <v>347</v>
      </c>
    </row>
    <row r="2" spans="4:18" ht="12.75" customHeight="1">
      <c r="D2" s="314" t="s">
        <v>89</v>
      </c>
      <c r="E2" s="314"/>
      <c r="F2" s="314"/>
      <c r="G2" s="314"/>
      <c r="H2" s="314"/>
      <c r="I2" s="314"/>
      <c r="M2" s="36"/>
      <c r="O2" s="43"/>
      <c r="P2" s="43"/>
      <c r="Q2" s="36"/>
      <c r="R2" s="39"/>
    </row>
    <row r="3" spans="4:18" ht="12.75" customHeight="1">
      <c r="D3" s="322" t="s">
        <v>345</v>
      </c>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row>
    <row r="12" spans="1:10" ht="12.75" customHeight="1">
      <c r="A12" s="36"/>
      <c r="B12" s="36"/>
      <c r="C12" s="36"/>
      <c r="D12" s="322" t="s">
        <v>82</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293331</v>
      </c>
    </row>
    <row r="18" spans="2:18" ht="12.75" customHeight="1">
      <c r="B18" s="37"/>
      <c r="C18" s="37"/>
      <c r="D18" s="37"/>
      <c r="E18" s="37"/>
      <c r="F18" s="37"/>
      <c r="G18" s="37"/>
      <c r="H18" s="37"/>
      <c r="I18" s="37"/>
      <c r="J18" s="50"/>
      <c r="O18" s="44" t="s">
        <v>11</v>
      </c>
      <c r="P18" s="51" t="s">
        <v>70</v>
      </c>
      <c r="Q18" s="52" t="s">
        <v>5</v>
      </c>
      <c r="R18" s="54">
        <v>5000</v>
      </c>
    </row>
    <row r="19" spans="2:18" ht="12.75" customHeight="1">
      <c r="B19" s="348" t="s">
        <v>283</v>
      </c>
      <c r="C19" s="347"/>
      <c r="D19" s="347"/>
      <c r="E19" s="347"/>
      <c r="F19" s="347"/>
      <c r="G19" s="347"/>
      <c r="H19" s="347"/>
      <c r="I19" s="347"/>
      <c r="J19" s="50"/>
      <c r="O19" s="35" t="s">
        <v>46</v>
      </c>
      <c r="Q19" s="52" t="s">
        <v>5</v>
      </c>
      <c r="R19" s="55">
        <f>SUM(R15:R18)</f>
        <v>298331</v>
      </c>
    </row>
    <row r="20" spans="3:10" ht="12.75" customHeight="1">
      <c r="C20" s="350" t="s">
        <v>82</v>
      </c>
      <c r="D20" s="350"/>
      <c r="F20" s="349">
        <v>42913</v>
      </c>
      <c r="G20" s="349"/>
      <c r="H20" s="349"/>
      <c r="J20" s="50"/>
    </row>
    <row r="21" spans="3:10" ht="12.75" customHeight="1">
      <c r="C21" s="350" t="s">
        <v>83</v>
      </c>
      <c r="D21" s="350"/>
      <c r="F21" s="346"/>
      <c r="G21" s="346"/>
      <c r="H21" s="346"/>
      <c r="I21" s="18"/>
      <c r="J21" s="50"/>
    </row>
    <row r="22" spans="1:18" ht="12.75" customHeight="1">
      <c r="A22" s="39"/>
      <c r="C22" s="350" t="s">
        <v>84</v>
      </c>
      <c r="D22" s="350"/>
      <c r="F22" s="346"/>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306</v>
      </c>
      <c r="B25" s="351"/>
      <c r="C25" s="351"/>
      <c r="D25" s="351"/>
      <c r="E25" s="351"/>
      <c r="F25" s="351"/>
      <c r="G25" s="351"/>
      <c r="H25" s="351"/>
      <c r="I25" s="351"/>
      <c r="J25" s="352"/>
      <c r="L25" s="325" t="s">
        <v>140</v>
      </c>
      <c r="M25" s="325"/>
      <c r="N25" s="325"/>
      <c r="O25" s="319" t="s">
        <v>341</v>
      </c>
      <c r="P25" s="320"/>
      <c r="Q25" s="320"/>
      <c r="R25" s="320"/>
    </row>
    <row r="26" spans="1:18" ht="12.75" customHeight="1">
      <c r="A26" s="351" t="s">
        <v>307</v>
      </c>
      <c r="B26" s="351"/>
      <c r="C26" s="351"/>
      <c r="D26" s="351"/>
      <c r="E26" s="351"/>
      <c r="F26" s="351"/>
      <c r="G26" s="351"/>
      <c r="H26" s="351"/>
      <c r="I26" s="351"/>
      <c r="J26" s="352"/>
      <c r="L26" s="59" t="s">
        <v>138</v>
      </c>
      <c r="M26" s="319" t="s">
        <v>342</v>
      </c>
      <c r="N26" s="320"/>
      <c r="O26" s="52" t="s">
        <v>139</v>
      </c>
      <c r="P26" s="326" t="s">
        <v>343</v>
      </c>
      <c r="Q26" s="327"/>
      <c r="R26" s="327"/>
    </row>
    <row r="27" spans="1:10" ht="12.75" customHeight="1">
      <c r="A27" s="351" t="s">
        <v>327</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294</v>
      </c>
      <c r="M29" s="324"/>
      <c r="N29" s="324"/>
      <c r="O29" s="324"/>
      <c r="P29" s="324"/>
      <c r="Q29" s="324"/>
      <c r="R29" s="324"/>
    </row>
    <row r="30" spans="1:18" ht="12.75" customHeight="1">
      <c r="A30" s="37"/>
      <c r="B30" s="37"/>
      <c r="C30" s="37"/>
      <c r="D30" s="37"/>
      <c r="E30" s="37"/>
      <c r="F30" s="37"/>
      <c r="G30" s="37"/>
      <c r="H30" s="60"/>
      <c r="I30" s="60"/>
      <c r="J30" s="46"/>
      <c r="L30" s="315">
        <v>42921</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341</v>
      </c>
      <c r="M39" s="322"/>
      <c r="N39" s="322"/>
      <c r="O39" s="65"/>
      <c r="P39" s="321" t="s">
        <v>344</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26">
      <selection activeCell="L40" sqref="L40"/>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AIBT Non-Profit Charter High School, Inc.</v>
      </c>
      <c r="E1" s="353"/>
      <c r="F1" s="353"/>
      <c r="H1" s="70" t="s">
        <v>54</v>
      </c>
      <c r="I1" s="354" t="str">
        <f>Cover!M1</f>
        <v>Maricopa</v>
      </c>
      <c r="J1" s="354"/>
      <c r="L1" s="70" t="s">
        <v>91</v>
      </c>
      <c r="M1" s="355" t="str">
        <f>Cover!R1</f>
        <v>078286000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56350</v>
      </c>
      <c r="G8" s="106">
        <v>7934</v>
      </c>
      <c r="H8" s="106">
        <v>11200</v>
      </c>
      <c r="I8" s="106">
        <v>20000</v>
      </c>
      <c r="J8" s="168"/>
      <c r="K8" s="170"/>
      <c r="L8" s="171">
        <f>SUM(F8:J8)</f>
        <v>95484</v>
      </c>
      <c r="M8" s="172" t="str">
        <f>IF(K8=0," ",(L8-K8)/K8)</f>
        <v> </v>
      </c>
      <c r="N8" s="2">
        <v>1</v>
      </c>
    </row>
    <row r="9" spans="2:14" ht="12" customHeight="1">
      <c r="B9" s="17" t="s">
        <v>24</v>
      </c>
      <c r="E9" s="124"/>
      <c r="F9" s="128"/>
      <c r="G9" s="128"/>
      <c r="H9" s="128"/>
      <c r="I9" s="128"/>
      <c r="J9" s="130"/>
      <c r="K9" s="77"/>
      <c r="L9" s="77"/>
      <c r="M9" s="77"/>
      <c r="N9" s="2"/>
    </row>
    <row r="10" spans="2:14" ht="12" customHeight="1">
      <c r="B10" s="17" t="s">
        <v>131</v>
      </c>
      <c r="E10" s="124">
        <v>2</v>
      </c>
      <c r="F10" s="106">
        <v>1700</v>
      </c>
      <c r="G10" s="106">
        <v>239</v>
      </c>
      <c r="H10" s="106">
        <v>2000</v>
      </c>
      <c r="I10" s="106">
        <v>1300</v>
      </c>
      <c r="J10" s="168">
        <v>250</v>
      </c>
      <c r="K10" s="106"/>
      <c r="L10" s="108">
        <f>SUM(F10:J10)</f>
        <v>5489</v>
      </c>
      <c r="M10" s="167" t="str">
        <f>IF(K10=0," ",(L10-K10)/K10)</f>
        <v> </v>
      </c>
      <c r="N10" s="2">
        <v>2</v>
      </c>
    </row>
    <row r="11" spans="2:14" ht="12" customHeight="1">
      <c r="B11" s="17" t="s">
        <v>149</v>
      </c>
      <c r="E11" s="124">
        <v>3</v>
      </c>
      <c r="F11" s="25"/>
      <c r="G11" s="25"/>
      <c r="H11" s="25">
        <v>1500</v>
      </c>
      <c r="I11" s="25"/>
      <c r="J11" s="25"/>
      <c r="K11" s="25"/>
      <c r="L11" s="6">
        <f aca="true" t="shared" si="0" ref="L11:L23">SUM(F11:J11)</f>
        <v>1500</v>
      </c>
      <c r="M11" s="12" t="str">
        <f aca="true" t="shared" si="1" ref="M11:M23">IF(K11=0," ",(L11-K11)/K11)</f>
        <v> </v>
      </c>
      <c r="N11" s="91">
        <v>3</v>
      </c>
    </row>
    <row r="12" spans="2:14" ht="12" customHeight="1">
      <c r="B12" s="17" t="s">
        <v>25</v>
      </c>
      <c r="E12" s="124">
        <v>4</v>
      </c>
      <c r="F12" s="25"/>
      <c r="G12" s="25"/>
      <c r="H12" s="25"/>
      <c r="I12" s="25"/>
      <c r="J12" s="25"/>
      <c r="K12" s="26"/>
      <c r="L12" s="6">
        <f t="shared" si="0"/>
        <v>0</v>
      </c>
      <c r="M12" s="12" t="str">
        <f t="shared" si="1"/>
        <v> </v>
      </c>
      <c r="N12" s="91">
        <v>4</v>
      </c>
    </row>
    <row r="13" spans="2:14" ht="12" customHeight="1">
      <c r="B13" s="17" t="s">
        <v>26</v>
      </c>
      <c r="E13" s="124">
        <v>5</v>
      </c>
      <c r="F13" s="25">
        <v>34080</v>
      </c>
      <c r="G13" s="25">
        <v>4798</v>
      </c>
      <c r="H13" s="25"/>
      <c r="I13" s="25">
        <v>1500</v>
      </c>
      <c r="J13" s="25">
        <v>100</v>
      </c>
      <c r="K13" s="26"/>
      <c r="L13" s="6">
        <f t="shared" si="0"/>
        <v>40478</v>
      </c>
      <c r="M13" s="12" t="str">
        <f t="shared" si="1"/>
        <v> </v>
      </c>
      <c r="N13" s="91">
        <v>5</v>
      </c>
    </row>
    <row r="14" spans="2:14" ht="12" customHeight="1">
      <c r="B14" s="17" t="s">
        <v>150</v>
      </c>
      <c r="E14" s="124">
        <v>6</v>
      </c>
      <c r="F14" s="25"/>
      <c r="G14" s="25"/>
      <c r="H14" s="25">
        <v>43000</v>
      </c>
      <c r="I14" s="25">
        <v>3000</v>
      </c>
      <c r="J14" s="25">
        <v>2500</v>
      </c>
      <c r="K14" s="26"/>
      <c r="L14" s="6">
        <f>SUM(F14:J14)</f>
        <v>48500</v>
      </c>
      <c r="M14" s="12" t="str">
        <f t="shared" si="1"/>
        <v> </v>
      </c>
      <c r="N14" s="91">
        <v>6</v>
      </c>
    </row>
    <row r="15" spans="2:14" ht="12" customHeight="1">
      <c r="B15" s="17" t="s">
        <v>151</v>
      </c>
      <c r="E15" s="124">
        <v>7</v>
      </c>
      <c r="F15" s="25"/>
      <c r="G15" s="25"/>
      <c r="H15" s="25">
        <v>27200</v>
      </c>
      <c r="I15" s="25">
        <v>23000</v>
      </c>
      <c r="J15" s="25"/>
      <c r="K15" s="26"/>
      <c r="L15" s="6">
        <f t="shared" si="0"/>
        <v>50200</v>
      </c>
      <c r="M15" s="12" t="str">
        <f t="shared" si="1"/>
        <v> </v>
      </c>
      <c r="N15" s="91">
        <v>7</v>
      </c>
    </row>
    <row r="16" spans="2:14" ht="12" customHeight="1">
      <c r="B16" s="17" t="s">
        <v>76</v>
      </c>
      <c r="E16" s="124">
        <v>8</v>
      </c>
      <c r="F16" s="25"/>
      <c r="G16" s="25"/>
      <c r="H16" s="25"/>
      <c r="I16" s="25"/>
      <c r="J16" s="25"/>
      <c r="K16" s="26"/>
      <c r="L16" s="6">
        <f t="shared" si="0"/>
        <v>0</v>
      </c>
      <c r="M16" s="12" t="str">
        <f t="shared" si="1"/>
        <v> </v>
      </c>
      <c r="N16" s="91">
        <v>8</v>
      </c>
    </row>
    <row r="17" spans="2:14" ht="12" customHeight="1">
      <c r="B17" s="17" t="s">
        <v>27</v>
      </c>
      <c r="E17" s="124">
        <v>9</v>
      </c>
      <c r="F17" s="25"/>
      <c r="G17" s="25"/>
      <c r="H17" s="25"/>
      <c r="I17" s="25"/>
      <c r="J17" s="25"/>
      <c r="K17" s="26"/>
      <c r="L17" s="6">
        <f t="shared" si="0"/>
        <v>0</v>
      </c>
      <c r="M17" s="12" t="str">
        <f t="shared" si="1"/>
        <v> </v>
      </c>
      <c r="N17" s="91">
        <v>9</v>
      </c>
    </row>
    <row r="18" spans="2:14" ht="12" customHeight="1">
      <c r="B18" s="17" t="s">
        <v>152</v>
      </c>
      <c r="E18" s="3">
        <v>10</v>
      </c>
      <c r="F18" s="25"/>
      <c r="G18" s="25"/>
      <c r="H18" s="25"/>
      <c r="I18" s="25"/>
      <c r="J18" s="25"/>
      <c r="K18" s="26"/>
      <c r="L18" s="6">
        <f t="shared" si="0"/>
        <v>0</v>
      </c>
      <c r="M18" s="12" t="str">
        <f t="shared" si="1"/>
        <v> </v>
      </c>
      <c r="N18" s="91">
        <v>10</v>
      </c>
    </row>
    <row r="19" spans="1:14" ht="12" customHeight="1">
      <c r="A19" s="14"/>
      <c r="B19" s="14" t="s">
        <v>28</v>
      </c>
      <c r="C19" s="14"/>
      <c r="D19" s="14"/>
      <c r="E19" s="21">
        <v>11</v>
      </c>
      <c r="F19" s="125"/>
      <c r="G19" s="25"/>
      <c r="H19" s="25"/>
      <c r="I19" s="25"/>
      <c r="J19" s="25"/>
      <c r="K19" s="26"/>
      <c r="L19" s="6">
        <f t="shared" si="0"/>
        <v>0</v>
      </c>
      <c r="M19" s="12" t="str">
        <f t="shared" si="1"/>
        <v> </v>
      </c>
      <c r="N19" s="91">
        <v>11</v>
      </c>
    </row>
    <row r="20" spans="1:14" ht="12" customHeight="1">
      <c r="A20" s="14" t="s">
        <v>77</v>
      </c>
      <c r="B20" s="14"/>
      <c r="C20" s="14"/>
      <c r="D20" s="14"/>
      <c r="E20" s="21">
        <v>12</v>
      </c>
      <c r="F20" s="125"/>
      <c r="G20" s="25"/>
      <c r="H20" s="25"/>
      <c r="I20" s="25">
        <v>500</v>
      </c>
      <c r="J20" s="25"/>
      <c r="K20" s="25"/>
      <c r="L20" s="6">
        <f t="shared" si="0"/>
        <v>500</v>
      </c>
      <c r="M20" s="12" t="str">
        <f t="shared" si="1"/>
        <v> </v>
      </c>
      <c r="N20" s="91">
        <v>12</v>
      </c>
    </row>
    <row r="21" spans="1:14" ht="12" customHeight="1">
      <c r="A21" s="14" t="s">
        <v>79</v>
      </c>
      <c r="B21" s="14"/>
      <c r="C21" s="14"/>
      <c r="D21" s="14"/>
      <c r="E21" s="21">
        <v>13</v>
      </c>
      <c r="F21" s="125"/>
      <c r="G21" s="25"/>
      <c r="H21" s="25"/>
      <c r="I21" s="25"/>
      <c r="J21" s="25"/>
      <c r="K21" s="25"/>
      <c r="L21" s="6">
        <f>SUM(F21:J21)</f>
        <v>0</v>
      </c>
      <c r="M21" s="12" t="str">
        <f t="shared" si="1"/>
        <v> </v>
      </c>
      <c r="N21" s="91">
        <v>13</v>
      </c>
    </row>
    <row r="22" spans="1:14" ht="12" customHeight="1">
      <c r="A22" s="14" t="s">
        <v>78</v>
      </c>
      <c r="B22" s="14"/>
      <c r="C22" s="14"/>
      <c r="D22" s="14"/>
      <c r="E22" s="21">
        <v>14</v>
      </c>
      <c r="F22" s="125"/>
      <c r="G22" s="25"/>
      <c r="H22" s="25"/>
      <c r="I22" s="25"/>
      <c r="J22" s="25"/>
      <c r="K22" s="25"/>
      <c r="L22" s="6">
        <f t="shared" si="0"/>
        <v>0</v>
      </c>
      <c r="M22" s="12" t="str">
        <f t="shared" si="1"/>
        <v> </v>
      </c>
      <c r="N22" s="91">
        <v>14</v>
      </c>
    </row>
    <row r="23" spans="1:14" ht="12" customHeight="1">
      <c r="A23" s="31"/>
      <c r="B23" s="31" t="s">
        <v>144</v>
      </c>
      <c r="C23" s="31"/>
      <c r="D23" s="31"/>
      <c r="E23" s="23">
        <v>15</v>
      </c>
      <c r="F23" s="6">
        <f>SUM(F7:F22)</f>
        <v>92130</v>
      </c>
      <c r="G23" s="6">
        <f>SUM(G7:G22)</f>
        <v>12971</v>
      </c>
      <c r="H23" s="6">
        <f>SUM(H7:H22)</f>
        <v>84900</v>
      </c>
      <c r="I23" s="6">
        <f>SUM(I7:I22)</f>
        <v>49300</v>
      </c>
      <c r="J23" s="6">
        <f>SUM(J7:J22)</f>
        <v>2850</v>
      </c>
      <c r="K23" s="164"/>
      <c r="L23" s="164">
        <f t="shared" si="0"/>
        <v>242151</v>
      </c>
      <c r="M23" s="12" t="str">
        <f t="shared" si="1"/>
        <v> </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5000</v>
      </c>
      <c r="I25" s="106">
        <v>250</v>
      </c>
      <c r="J25" s="168"/>
      <c r="K25" s="106"/>
      <c r="L25" s="108">
        <f>SUM(F25:J25)</f>
        <v>5250</v>
      </c>
      <c r="M25" s="237" t="str">
        <f>IF(K25=0," ",(L25-K25)/K25)</f>
        <v> </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5000</v>
      </c>
      <c r="G27" s="106">
        <v>704</v>
      </c>
      <c r="H27" s="106">
        <v>1000</v>
      </c>
      <c r="I27" s="106"/>
      <c r="J27" s="168"/>
      <c r="K27" s="106"/>
      <c r="L27" s="108">
        <f>SUM(F27:J27)</f>
        <v>6704</v>
      </c>
      <c r="M27" s="237" t="str">
        <f>IF(K27=0," ",(L27-K27)/K27)</f>
        <v> </v>
      </c>
      <c r="N27" s="91">
        <v>17</v>
      </c>
    </row>
    <row r="28" spans="2:14" ht="12" customHeight="1">
      <c r="B28" s="17" t="s">
        <v>149</v>
      </c>
      <c r="E28" s="21">
        <v>18</v>
      </c>
      <c r="F28" s="25"/>
      <c r="G28" s="25"/>
      <c r="H28" s="25">
        <v>500</v>
      </c>
      <c r="I28" s="25"/>
      <c r="J28" s="25"/>
      <c r="K28" s="25"/>
      <c r="L28" s="6">
        <f aca="true" t="shared" si="2" ref="L28:L42">SUM(F28:J28)</f>
        <v>500</v>
      </c>
      <c r="M28" s="131" t="str">
        <f aca="true" t="shared" si="3" ref="M28:M48">IF(K28=0," ",(L28-K28)/K28)</f>
        <v> </v>
      </c>
      <c r="N28" s="91">
        <v>18</v>
      </c>
    </row>
    <row r="29" spans="2:14" ht="12" customHeight="1">
      <c r="B29" s="17" t="s">
        <v>25</v>
      </c>
      <c r="E29" s="21">
        <v>19</v>
      </c>
      <c r="F29" s="25"/>
      <c r="G29" s="25"/>
      <c r="H29" s="25"/>
      <c r="I29" s="25"/>
      <c r="J29" s="25"/>
      <c r="K29" s="26"/>
      <c r="L29" s="6">
        <f t="shared" si="2"/>
        <v>0</v>
      </c>
      <c r="M29" s="12" t="str">
        <f t="shared" si="3"/>
        <v> </v>
      </c>
      <c r="N29" s="91">
        <v>19</v>
      </c>
    </row>
    <row r="30" spans="2:14" ht="12" customHeight="1">
      <c r="B30" s="17" t="s">
        <v>26</v>
      </c>
      <c r="E30" s="21">
        <v>20</v>
      </c>
      <c r="F30" s="25"/>
      <c r="G30" s="25"/>
      <c r="H30" s="25"/>
      <c r="I30" s="25"/>
      <c r="J30" s="25"/>
      <c r="K30" s="26"/>
      <c r="L30" s="6">
        <f t="shared" si="2"/>
        <v>0</v>
      </c>
      <c r="M30" s="12" t="str">
        <f t="shared" si="3"/>
        <v> </v>
      </c>
      <c r="N30" s="91">
        <v>20</v>
      </c>
    </row>
    <row r="31" spans="2:14" ht="12" customHeight="1">
      <c r="B31" s="17" t="s">
        <v>150</v>
      </c>
      <c r="E31" s="21">
        <v>21</v>
      </c>
      <c r="F31" s="25"/>
      <c r="G31" s="25"/>
      <c r="H31" s="25"/>
      <c r="I31" s="25"/>
      <c r="J31" s="25"/>
      <c r="K31" s="26"/>
      <c r="L31" s="6">
        <f>SUM(F31:J31)</f>
        <v>0</v>
      </c>
      <c r="M31" s="12" t="str">
        <f t="shared" si="3"/>
        <v> </v>
      </c>
      <c r="N31" s="91">
        <v>21</v>
      </c>
    </row>
    <row r="32" spans="2:14" ht="12" customHeight="1">
      <c r="B32" s="17" t="s">
        <v>151</v>
      </c>
      <c r="E32" s="21">
        <v>22</v>
      </c>
      <c r="F32" s="25"/>
      <c r="G32" s="25"/>
      <c r="H32" s="25"/>
      <c r="I32" s="25"/>
      <c r="J32" s="25"/>
      <c r="K32" s="26"/>
      <c r="L32" s="6">
        <f t="shared" si="2"/>
        <v>0</v>
      </c>
      <c r="M32" s="12" t="str">
        <f t="shared" si="3"/>
        <v> </v>
      </c>
      <c r="N32" s="91">
        <v>22</v>
      </c>
    </row>
    <row r="33" spans="2:14" ht="12" customHeight="1">
      <c r="B33" s="17" t="s">
        <v>76</v>
      </c>
      <c r="E33" s="21">
        <v>23</v>
      </c>
      <c r="F33" s="25"/>
      <c r="G33" s="25"/>
      <c r="H33" s="25"/>
      <c r="I33" s="25"/>
      <c r="J33" s="25"/>
      <c r="K33" s="26"/>
      <c r="L33" s="6">
        <f t="shared" si="2"/>
        <v>0</v>
      </c>
      <c r="M33" s="12" t="str">
        <f t="shared" si="3"/>
        <v> </v>
      </c>
      <c r="N33" s="91">
        <v>23</v>
      </c>
    </row>
    <row r="34" spans="2:18" ht="12" customHeight="1">
      <c r="B34" s="17" t="s">
        <v>27</v>
      </c>
      <c r="E34" s="21">
        <v>24</v>
      </c>
      <c r="F34" s="25"/>
      <c r="G34" s="25"/>
      <c r="H34" s="25"/>
      <c r="I34" s="25"/>
      <c r="J34" s="25"/>
      <c r="K34" s="26"/>
      <c r="L34" s="6">
        <f t="shared" si="2"/>
        <v>0</v>
      </c>
      <c r="M34" s="12" t="str">
        <f t="shared" si="3"/>
        <v> </v>
      </c>
      <c r="N34" s="91">
        <v>24</v>
      </c>
      <c r="R34" s="252"/>
    </row>
    <row r="35" spans="2:14" ht="12" customHeight="1">
      <c r="B35" s="17" t="s">
        <v>152</v>
      </c>
      <c r="E35" s="21">
        <v>25</v>
      </c>
      <c r="F35" s="25"/>
      <c r="G35" s="25"/>
      <c r="H35" s="25"/>
      <c r="I35" s="25"/>
      <c r="J35" s="25"/>
      <c r="K35" s="26"/>
      <c r="L35" s="6">
        <f t="shared" si="2"/>
        <v>0</v>
      </c>
      <c r="M35" s="12" t="str">
        <f t="shared" si="3"/>
        <v> </v>
      </c>
      <c r="N35" s="91">
        <v>25</v>
      </c>
    </row>
    <row r="36" spans="1:14" ht="12" customHeight="1">
      <c r="A36" s="14"/>
      <c r="B36" s="14" t="s">
        <v>28</v>
      </c>
      <c r="C36" s="14"/>
      <c r="D36" s="14"/>
      <c r="E36" s="3">
        <v>26</v>
      </c>
      <c r="F36" s="25"/>
      <c r="G36" s="25"/>
      <c r="H36" s="25"/>
      <c r="I36" s="25"/>
      <c r="J36" s="25"/>
      <c r="K36" s="26"/>
      <c r="L36" s="6">
        <f t="shared" si="2"/>
        <v>0</v>
      </c>
      <c r="M36" s="12" t="str">
        <f t="shared" si="3"/>
        <v> </v>
      </c>
      <c r="N36" s="91">
        <v>26</v>
      </c>
    </row>
    <row r="37" spans="1:14" ht="12" customHeight="1">
      <c r="A37" s="31"/>
      <c r="B37" s="31" t="s">
        <v>88</v>
      </c>
      <c r="C37" s="31"/>
      <c r="D37" s="31"/>
      <c r="E37" s="23">
        <v>27</v>
      </c>
      <c r="F37" s="20">
        <f>SUM(F24:F36)</f>
        <v>5000</v>
      </c>
      <c r="G37" s="20">
        <f>SUM(G24:G36)</f>
        <v>704</v>
      </c>
      <c r="H37" s="20">
        <f>SUM(H24:H36)</f>
        <v>6500</v>
      </c>
      <c r="I37" s="20">
        <f>SUM(I24:I36)</f>
        <v>250</v>
      </c>
      <c r="J37" s="20">
        <f>SUM(J24:J36)</f>
        <v>0</v>
      </c>
      <c r="K37" s="20"/>
      <c r="L37" s="20">
        <f t="shared" si="2"/>
        <v>12454</v>
      </c>
      <c r="M37" s="131" t="str">
        <f t="shared" si="3"/>
        <v> </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v>1000</v>
      </c>
      <c r="J39" s="25"/>
      <c r="K39" s="25"/>
      <c r="L39" s="6">
        <f t="shared" si="2"/>
        <v>1000</v>
      </c>
      <c r="M39" s="12" t="str">
        <f t="shared" si="3"/>
        <v> </v>
      </c>
      <c r="N39" s="91">
        <v>28</v>
      </c>
    </row>
    <row r="40" spans="1:14" ht="12" customHeight="1">
      <c r="A40" s="31" t="s">
        <v>31</v>
      </c>
      <c r="B40" s="31"/>
      <c r="C40" s="31"/>
      <c r="D40" s="31"/>
      <c r="E40" s="5">
        <v>29</v>
      </c>
      <c r="F40" s="25"/>
      <c r="G40" s="25"/>
      <c r="H40" s="25"/>
      <c r="I40" s="25"/>
      <c r="J40" s="25"/>
      <c r="K40" s="26"/>
      <c r="L40" s="6">
        <f>SUM(F40:J40)</f>
        <v>0</v>
      </c>
      <c r="M40" s="12" t="str">
        <f t="shared" si="3"/>
        <v> </v>
      </c>
      <c r="N40" s="91">
        <v>29</v>
      </c>
    </row>
    <row r="41" spans="1:14" ht="12" customHeight="1">
      <c r="A41" s="31" t="s">
        <v>154</v>
      </c>
      <c r="B41" s="31"/>
      <c r="C41" s="31"/>
      <c r="D41" s="31"/>
      <c r="E41" s="5">
        <v>30</v>
      </c>
      <c r="F41" s="25"/>
      <c r="G41" s="25"/>
      <c r="H41" s="25"/>
      <c r="I41" s="25"/>
      <c r="J41" s="25"/>
      <c r="K41" s="26"/>
      <c r="L41" s="6">
        <f t="shared" si="2"/>
        <v>0</v>
      </c>
      <c r="M41" s="12" t="str">
        <f t="shared" si="3"/>
        <v> </v>
      </c>
      <c r="N41" s="91">
        <v>30</v>
      </c>
    </row>
    <row r="42" spans="1:14" ht="12" customHeight="1">
      <c r="A42" s="265" t="s">
        <v>218</v>
      </c>
      <c r="B42" s="260"/>
      <c r="C42" s="260"/>
      <c r="D42" s="260"/>
      <c r="E42" s="5">
        <v>31</v>
      </c>
      <c r="F42" s="25"/>
      <c r="G42" s="25"/>
      <c r="H42" s="25"/>
      <c r="I42" s="25"/>
      <c r="J42" s="25"/>
      <c r="K42" s="26"/>
      <c r="L42" s="6">
        <f t="shared" si="2"/>
        <v>0</v>
      </c>
      <c r="M42" s="12" t="str">
        <f t="shared" si="3"/>
        <v> </v>
      </c>
      <c r="N42" s="91">
        <v>31</v>
      </c>
    </row>
    <row r="43" spans="1:14" ht="12" customHeight="1">
      <c r="A43" s="31"/>
      <c r="B43" s="137" t="s">
        <v>274</v>
      </c>
      <c r="C43" s="31"/>
      <c r="D43" s="31"/>
      <c r="E43" s="5">
        <v>32</v>
      </c>
      <c r="F43" s="6">
        <f>SUM(F37:F42)+F23</f>
        <v>97130</v>
      </c>
      <c r="G43" s="6">
        <f>SUM(G37:G42)+G23</f>
        <v>13675</v>
      </c>
      <c r="H43" s="6">
        <f>SUM(H37:H42)+H23</f>
        <v>91400</v>
      </c>
      <c r="I43" s="6">
        <f>SUM(I37:I42)+I23</f>
        <v>50550</v>
      </c>
      <c r="J43" s="6">
        <f>SUM(J37:J42)+J23</f>
        <v>2850</v>
      </c>
      <c r="K43" s="6"/>
      <c r="L43" s="6">
        <f>SUM(F43:J43)</f>
        <v>255605</v>
      </c>
      <c r="M43" s="12" t="str">
        <f t="shared" si="3"/>
        <v> </v>
      </c>
      <c r="N43" s="91">
        <v>32</v>
      </c>
    </row>
    <row r="44" spans="1:14" ht="12" customHeight="1">
      <c r="A44" s="137" t="s">
        <v>265</v>
      </c>
      <c r="B44" s="31"/>
      <c r="C44" s="31"/>
      <c r="D44" s="31"/>
      <c r="E44" s="5">
        <v>33</v>
      </c>
      <c r="F44" s="6">
        <f>TotalCSP6100</f>
        <v>17550</v>
      </c>
      <c r="G44" s="6">
        <f>TotalCSP6200</f>
        <v>2471</v>
      </c>
      <c r="H44" s="6">
        <f>TotalCSP630064006500</f>
        <v>0</v>
      </c>
      <c r="I44" s="6">
        <f>TotalCSP6600</f>
        <v>0</v>
      </c>
      <c r="J44" s="127"/>
      <c r="K44" s="25"/>
      <c r="L44" s="6">
        <f>SUM(F44:J44)</f>
        <v>20021</v>
      </c>
      <c r="M44" s="12" t="str">
        <f t="shared" si="3"/>
        <v> </v>
      </c>
      <c r="N44" s="91">
        <v>33</v>
      </c>
    </row>
    <row r="45" spans="1:14" ht="12" customHeight="1">
      <c r="A45" s="137" t="s">
        <v>266</v>
      </c>
      <c r="B45" s="31"/>
      <c r="C45" s="31"/>
      <c r="D45" s="31"/>
      <c r="E45" s="5">
        <v>34</v>
      </c>
      <c r="F45" s="127"/>
      <c r="G45" s="127"/>
      <c r="H45" s="127"/>
      <c r="I45" s="127"/>
      <c r="J45" s="127"/>
      <c r="K45" s="25"/>
      <c r="L45" s="6">
        <f>TotalInstructionalImprovement</f>
        <v>2190</v>
      </c>
      <c r="M45" s="12" t="str">
        <f t="shared" si="3"/>
        <v> </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c r="L47" s="6">
        <f>TotalCIP</f>
        <v>0</v>
      </c>
      <c r="M47" s="12" t="str">
        <f t="shared" si="3"/>
        <v> </v>
      </c>
      <c r="N47" s="91">
        <v>36</v>
      </c>
    </row>
    <row r="48" spans="1:14" ht="12" customHeight="1">
      <c r="A48" s="265" t="s">
        <v>310</v>
      </c>
      <c r="B48" s="260"/>
      <c r="C48" s="260"/>
      <c r="D48" s="260"/>
      <c r="E48" s="270">
        <v>37</v>
      </c>
      <c r="F48" s="127"/>
      <c r="G48" s="127"/>
      <c r="H48" s="127"/>
      <c r="I48" s="127"/>
      <c r="J48" s="127"/>
      <c r="K48" s="26"/>
      <c r="L48" s="6">
        <f>FederalandStateProjectsTotal</f>
        <v>5000</v>
      </c>
      <c r="M48" s="12" t="str">
        <f t="shared" si="3"/>
        <v> </v>
      </c>
      <c r="N48" s="91">
        <v>37</v>
      </c>
    </row>
    <row r="49" spans="1:14" ht="12" customHeight="1">
      <c r="A49" s="96"/>
      <c r="B49" s="137" t="s">
        <v>281</v>
      </c>
      <c r="C49" s="31"/>
      <c r="D49" s="31"/>
      <c r="E49" s="5">
        <v>38</v>
      </c>
      <c r="F49" s="13">
        <f>SUM(F43+F44+F46+F47)</f>
        <v>114680</v>
      </c>
      <c r="G49" s="13">
        <f>SUM(G43+G44+G46+G47)</f>
        <v>16146</v>
      </c>
      <c r="H49" s="13">
        <f>SUM(H43+H44+H46+H47)</f>
        <v>91400</v>
      </c>
      <c r="I49" s="13">
        <f>SUM(I43+I44+I46+I47)</f>
        <v>50550</v>
      </c>
      <c r="J49" s="13">
        <f>SUM(J43+J46+J47)</f>
        <v>2850</v>
      </c>
      <c r="K49" s="10"/>
      <c r="L49" s="10">
        <f>SUM(L43:L48)</f>
        <v>282816</v>
      </c>
      <c r="M49" s="12" t="str">
        <f>IF(K49=0," ",(L49-K49)/K49)</f>
        <v> </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25">
      <selection activeCell="M48" sqref="M4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AIBT Non-Profit Charter High School, Inc.</v>
      </c>
      <c r="D1" s="359"/>
      <c r="E1" s="359"/>
      <c r="F1" s="359"/>
      <c r="H1" s="114" t="s">
        <v>1</v>
      </c>
      <c r="I1" s="360" t="str">
        <f>Cover!M1</f>
        <v>Maricopa</v>
      </c>
      <c r="J1" s="361"/>
      <c r="K1" s="361"/>
      <c r="M1" s="48" t="s">
        <v>91</v>
      </c>
      <c r="N1" s="262" t="str">
        <f>Cover!R1</f>
        <v>078286000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c r="E5" s="148"/>
      <c r="F5" s="117">
        <v>1</v>
      </c>
      <c r="G5" s="157">
        <v>1</v>
      </c>
      <c r="H5" s="271" t="s">
        <v>271</v>
      </c>
      <c r="I5" s="271"/>
      <c r="J5" s="292"/>
      <c r="K5" s="154"/>
      <c r="M5" s="149"/>
      <c r="N5" s="149">
        <f>'Page 1'!L37</f>
        <v>12454</v>
      </c>
      <c r="O5" s="32">
        <v>1</v>
      </c>
      <c r="P5" s="113"/>
      <c r="Q5" s="113"/>
      <c r="R5" s="274"/>
      <c r="S5" s="274"/>
      <c r="T5" s="113"/>
      <c r="U5" s="113"/>
      <c r="V5" s="113"/>
      <c r="W5" s="113"/>
      <c r="X5" s="113"/>
    </row>
    <row r="6" spans="1:24" ht="12" customHeight="1">
      <c r="A6" s="153">
        <v>2</v>
      </c>
      <c r="B6" s="155" t="s">
        <v>184</v>
      </c>
      <c r="C6" s="154"/>
      <c r="D6" s="148"/>
      <c r="E6" s="148"/>
      <c r="F6" s="117">
        <v>2</v>
      </c>
      <c r="G6" s="157">
        <v>2</v>
      </c>
      <c r="H6" s="154" t="s">
        <v>34</v>
      </c>
      <c r="I6" s="154"/>
      <c r="J6" s="154"/>
      <c r="K6" s="154"/>
      <c r="M6" s="149"/>
      <c r="N6" s="149"/>
      <c r="O6" s="32">
        <v>2</v>
      </c>
      <c r="P6" s="113"/>
      <c r="Q6" s="113"/>
      <c r="R6" s="274"/>
      <c r="S6" s="274"/>
      <c r="T6" s="113"/>
      <c r="U6" s="113"/>
      <c r="V6" s="113"/>
      <c r="W6" s="113"/>
      <c r="X6" s="113"/>
    </row>
    <row r="7" spans="1:24" ht="12" customHeight="1">
      <c r="A7" s="153">
        <v>3</v>
      </c>
      <c r="B7" s="155" t="s">
        <v>185</v>
      </c>
      <c r="C7" s="154"/>
      <c r="D7" s="148"/>
      <c r="E7" s="148"/>
      <c r="F7" s="117">
        <v>3</v>
      </c>
      <c r="G7" s="157">
        <v>3</v>
      </c>
      <c r="H7" s="154" t="s">
        <v>147</v>
      </c>
      <c r="I7" s="154"/>
      <c r="J7" s="154"/>
      <c r="K7" s="154"/>
      <c r="M7" s="148"/>
      <c r="N7" s="148"/>
      <c r="O7" s="32">
        <v>3</v>
      </c>
      <c r="P7" s="113"/>
      <c r="Q7" s="113"/>
      <c r="R7" s="274"/>
      <c r="S7" s="274"/>
      <c r="T7" s="113"/>
      <c r="U7" s="113"/>
      <c r="V7" s="113"/>
      <c r="W7" s="113"/>
      <c r="X7" s="113"/>
    </row>
    <row r="8" spans="1:24" ht="12" customHeight="1">
      <c r="A8" s="153">
        <v>4</v>
      </c>
      <c r="B8" s="155" t="s">
        <v>186</v>
      </c>
      <c r="C8" s="154"/>
      <c r="D8" s="148"/>
      <c r="E8" s="148"/>
      <c r="F8" s="117">
        <v>4</v>
      </c>
      <c r="G8" s="157">
        <v>4</v>
      </c>
      <c r="H8" s="154" t="s">
        <v>148</v>
      </c>
      <c r="I8" s="154"/>
      <c r="J8" s="154"/>
      <c r="K8" s="154"/>
      <c r="M8" s="148"/>
      <c r="N8" s="148"/>
      <c r="O8" s="32">
        <v>4</v>
      </c>
      <c r="P8" s="113"/>
      <c r="Q8" s="113"/>
      <c r="R8" s="274"/>
      <c r="S8" s="274"/>
      <c r="T8" s="113"/>
      <c r="U8" s="113"/>
      <c r="V8" s="113"/>
      <c r="W8" s="113"/>
      <c r="X8" s="113"/>
    </row>
    <row r="9" spans="1:24" ht="12" customHeight="1">
      <c r="A9" s="153">
        <v>5</v>
      </c>
      <c r="B9" s="155" t="s">
        <v>187</v>
      </c>
      <c r="C9" s="154"/>
      <c r="D9" s="148"/>
      <c r="E9" s="148"/>
      <c r="F9" s="117">
        <v>5</v>
      </c>
      <c r="G9" s="157">
        <v>5</v>
      </c>
      <c r="H9" s="154" t="s">
        <v>35</v>
      </c>
      <c r="I9" s="154"/>
      <c r="J9" s="154"/>
      <c r="K9" s="154"/>
      <c r="M9" s="148"/>
      <c r="N9" s="148"/>
      <c r="O9" s="32">
        <v>5</v>
      </c>
      <c r="P9" s="113"/>
      <c r="Q9" s="113"/>
      <c r="R9" s="274"/>
      <c r="S9" s="274"/>
      <c r="T9" s="113"/>
      <c r="U9" s="113"/>
      <c r="V9" s="113"/>
      <c r="W9" s="113"/>
      <c r="X9" s="113"/>
    </row>
    <row r="10" spans="1:24" ht="12" customHeight="1">
      <c r="A10" s="153">
        <v>6</v>
      </c>
      <c r="B10" s="155" t="s">
        <v>188</v>
      </c>
      <c r="C10" s="154"/>
      <c r="D10" s="148"/>
      <c r="E10" s="148"/>
      <c r="F10" s="117">
        <v>6</v>
      </c>
      <c r="G10" s="157">
        <v>6</v>
      </c>
      <c r="H10" s="154" t="s">
        <v>181</v>
      </c>
      <c r="I10" s="154"/>
      <c r="J10" s="154"/>
      <c r="K10" s="154"/>
      <c r="M10" s="148"/>
      <c r="N10" s="148"/>
      <c r="O10" s="32">
        <v>6</v>
      </c>
      <c r="P10" s="113"/>
      <c r="Q10" s="113"/>
      <c r="R10" s="274"/>
      <c r="S10" s="274"/>
      <c r="T10" s="113"/>
      <c r="U10" s="113"/>
      <c r="V10" s="113"/>
      <c r="W10" s="113"/>
      <c r="X10" s="113"/>
    </row>
    <row r="11" spans="1:24" ht="12" customHeight="1">
      <c r="A11" s="153">
        <v>7</v>
      </c>
      <c r="B11" s="155" t="s">
        <v>189</v>
      </c>
      <c r="C11" s="154"/>
      <c r="D11" s="148"/>
      <c r="E11" s="148"/>
      <c r="F11" s="117">
        <v>7</v>
      </c>
      <c r="G11" s="157">
        <v>7</v>
      </c>
      <c r="H11" s="154" t="s">
        <v>36</v>
      </c>
      <c r="I11" s="154"/>
      <c r="J11" s="154"/>
      <c r="K11" s="154"/>
      <c r="M11" s="148"/>
      <c r="N11" s="148"/>
      <c r="O11" s="32">
        <v>7</v>
      </c>
      <c r="P11" s="113"/>
      <c r="Q11" s="113"/>
      <c r="R11" s="274"/>
      <c r="S11" s="274"/>
      <c r="T11" s="113"/>
      <c r="U11" s="113"/>
      <c r="V11" s="113"/>
      <c r="W11" s="113"/>
      <c r="X11" s="113"/>
    </row>
    <row r="12" spans="1:24" ht="12" customHeight="1">
      <c r="A12" s="153">
        <v>8</v>
      </c>
      <c r="B12" s="154" t="s">
        <v>47</v>
      </c>
      <c r="C12" s="154"/>
      <c r="D12" s="148"/>
      <c r="E12" s="148">
        <v>5000</v>
      </c>
      <c r="F12" s="117">
        <v>8</v>
      </c>
      <c r="G12" s="157">
        <v>8</v>
      </c>
      <c r="H12" s="271" t="s">
        <v>270</v>
      </c>
      <c r="I12" s="271"/>
      <c r="J12" s="292"/>
      <c r="K12" s="154"/>
      <c r="M12" s="294"/>
      <c r="N12" s="294">
        <f>SUM(N5:N11)</f>
        <v>12454</v>
      </c>
      <c r="O12" s="32">
        <v>8</v>
      </c>
      <c r="P12" s="113"/>
      <c r="Q12" s="113"/>
      <c r="R12" s="274"/>
      <c r="S12" s="274"/>
      <c r="T12" s="113"/>
      <c r="U12" s="113"/>
      <c r="V12" s="113"/>
      <c r="W12" s="113"/>
      <c r="X12" s="113"/>
    </row>
    <row r="13" spans="1:24" ht="12" customHeight="1">
      <c r="A13" s="153">
        <v>9</v>
      </c>
      <c r="B13" s="154" t="s">
        <v>48</v>
      </c>
      <c r="C13" s="154"/>
      <c r="D13" s="148"/>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c r="E18" s="148"/>
      <c r="F18" s="117">
        <v>14</v>
      </c>
      <c r="G18" s="153" t="s">
        <v>44</v>
      </c>
      <c r="H18" s="158" t="s">
        <v>134</v>
      </c>
      <c r="I18" s="158"/>
      <c r="J18" s="154"/>
      <c r="K18" s="154"/>
      <c r="M18" s="149"/>
      <c r="N18" s="149"/>
      <c r="O18" s="153" t="s">
        <v>44</v>
      </c>
      <c r="P18" s="113"/>
      <c r="Q18" s="113"/>
      <c r="R18" s="274"/>
      <c r="S18" s="274"/>
      <c r="T18" s="113"/>
      <c r="U18" s="113"/>
      <c r="V18" s="113"/>
      <c r="W18" s="113"/>
      <c r="X18" s="113"/>
    </row>
    <row r="19" spans="1:24" ht="12" customHeight="1">
      <c r="A19" s="153">
        <v>15</v>
      </c>
      <c r="B19" s="154" t="s">
        <v>75</v>
      </c>
      <c r="C19" s="154"/>
      <c r="D19" s="149"/>
      <c r="E19" s="149"/>
      <c r="F19" s="117">
        <v>15</v>
      </c>
      <c r="G19" s="153" t="s">
        <v>45</v>
      </c>
      <c r="H19" s="159" t="s">
        <v>135</v>
      </c>
      <c r="I19" s="159"/>
      <c r="J19" s="288"/>
      <c r="M19" s="149"/>
      <c r="N19" s="149"/>
      <c r="O19" s="153" t="s">
        <v>45</v>
      </c>
      <c r="P19" s="113"/>
      <c r="Q19" s="113"/>
      <c r="R19" s="274"/>
      <c r="S19" s="274"/>
      <c r="T19" s="113"/>
      <c r="U19" s="113"/>
      <c r="V19" s="113"/>
      <c r="W19" s="113"/>
      <c r="X19" s="113"/>
    </row>
    <row r="20" spans="1:24" ht="12" customHeight="1">
      <c r="A20" s="153">
        <v>16</v>
      </c>
      <c r="B20" s="155" t="s">
        <v>257</v>
      </c>
      <c r="C20" s="154"/>
      <c r="D20" s="284"/>
      <c r="E20" s="284"/>
      <c r="F20" s="117">
        <v>16</v>
      </c>
      <c r="G20" s="153" t="s">
        <v>107</v>
      </c>
      <c r="H20" s="271" t="s">
        <v>236</v>
      </c>
      <c r="I20" s="271"/>
      <c r="J20" s="292"/>
      <c r="K20" s="293"/>
      <c r="M20" s="149"/>
      <c r="N20" s="149"/>
      <c r="O20" s="153" t="s">
        <v>107</v>
      </c>
      <c r="P20" s="113"/>
      <c r="Q20" s="113"/>
      <c r="R20" s="274"/>
      <c r="S20" s="274"/>
      <c r="T20" s="113"/>
      <c r="U20" s="113"/>
      <c r="V20" s="113"/>
      <c r="W20" s="113"/>
      <c r="X20" s="113"/>
    </row>
    <row r="21" spans="1:24" ht="12" customHeight="1" thickBot="1">
      <c r="A21" s="153">
        <v>17</v>
      </c>
      <c r="B21" s="154" t="s">
        <v>71</v>
      </c>
      <c r="C21" s="154"/>
      <c r="D21" s="150"/>
      <c r="E21" s="150"/>
      <c r="F21" s="117">
        <v>17</v>
      </c>
      <c r="G21" s="153" t="s">
        <v>108</v>
      </c>
      <c r="H21" s="271" t="s">
        <v>237</v>
      </c>
      <c r="I21" s="271"/>
      <c r="J21" s="292"/>
      <c r="K21" s="293"/>
      <c r="M21" s="150"/>
      <c r="N21" s="150">
        <v>2190</v>
      </c>
      <c r="O21" s="153" t="s">
        <v>108</v>
      </c>
      <c r="P21" s="113"/>
      <c r="Q21" s="113"/>
      <c r="R21" s="274"/>
      <c r="S21" s="274"/>
      <c r="T21" s="113"/>
      <c r="U21" s="113"/>
      <c r="V21" s="113"/>
      <c r="W21" s="113"/>
      <c r="X21" s="113"/>
    </row>
    <row r="22" spans="1:24" ht="12" customHeight="1" thickBot="1">
      <c r="A22" s="153">
        <v>18</v>
      </c>
      <c r="B22" s="155" t="s">
        <v>256</v>
      </c>
      <c r="C22" s="154"/>
      <c r="D22" s="152"/>
      <c r="E22" s="152">
        <f>SUM(E5:E21)</f>
        <v>5000</v>
      </c>
      <c r="F22" s="117">
        <v>18</v>
      </c>
      <c r="G22" s="153" t="s">
        <v>109</v>
      </c>
      <c r="H22" s="158" t="s">
        <v>137</v>
      </c>
      <c r="I22" s="158"/>
      <c r="J22" s="154"/>
      <c r="K22" s="154"/>
      <c r="M22" s="152"/>
      <c r="N22" s="152">
        <f>SUM(N18:N21)</f>
        <v>2190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c r="E26" s="148"/>
      <c r="F26" s="117">
        <v>21</v>
      </c>
      <c r="H26" s="44" t="s">
        <v>37</v>
      </c>
      <c r="I26" s="114" t="s">
        <v>38</v>
      </c>
      <c r="J26" s="119"/>
      <c r="L26" s="57" t="s">
        <v>41</v>
      </c>
      <c r="N26" s="28">
        <v>0</v>
      </c>
      <c r="P26" s="113"/>
      <c r="Q26" s="113"/>
      <c r="R26" s="274"/>
      <c r="S26" s="274"/>
      <c r="T26" s="113"/>
      <c r="U26" s="113"/>
      <c r="V26" s="113"/>
      <c r="W26" s="113"/>
      <c r="X26" s="113"/>
    </row>
    <row r="27" spans="1:24" ht="12" customHeight="1">
      <c r="A27" s="153">
        <v>22</v>
      </c>
      <c r="B27" s="154" t="s">
        <v>50</v>
      </c>
      <c r="C27" s="154"/>
      <c r="D27" s="148"/>
      <c r="E27" s="148"/>
      <c r="F27" s="117">
        <v>22</v>
      </c>
      <c r="G27" s="282"/>
      <c r="H27" s="44" t="s">
        <v>39</v>
      </c>
      <c r="I27" s="114" t="s">
        <v>38</v>
      </c>
      <c r="J27" s="306"/>
      <c r="K27" s="154"/>
      <c r="L27" s="141" t="s">
        <v>42</v>
      </c>
      <c r="N27" s="28">
        <f>IIPInstructionalImprovementPrograms+SP1000P100F1000+SP1000P200F1000+CSP1011P100F1000+CSP1012P100F1000+CSP1013P100F1000</f>
        <v>122945</v>
      </c>
      <c r="O27" s="32"/>
      <c r="P27" s="113"/>
      <c r="Q27" s="113"/>
      <c r="R27" s="274"/>
      <c r="S27" s="274"/>
      <c r="T27" s="113"/>
      <c r="U27" s="113"/>
      <c r="V27" s="113"/>
      <c r="W27" s="113"/>
      <c r="X27" s="113"/>
    </row>
    <row r="28" spans="1:24" ht="12" customHeight="1">
      <c r="A28" s="153">
        <v>23</v>
      </c>
      <c r="B28" s="154" t="s">
        <v>51</v>
      </c>
      <c r="C28" s="154"/>
      <c r="D28" s="148"/>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299</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300</v>
      </c>
      <c r="C32" s="271"/>
      <c r="D32" s="310"/>
      <c r="E32" s="148"/>
      <c r="F32" s="117">
        <v>27</v>
      </c>
      <c r="H32" s="155" t="s">
        <v>221</v>
      </c>
      <c r="M32" s="309"/>
      <c r="N32" s="304">
        <v>0</v>
      </c>
      <c r="O32" s="118"/>
      <c r="P32" s="113"/>
      <c r="Q32" s="113"/>
      <c r="R32" s="113"/>
      <c r="S32" s="113"/>
      <c r="T32" s="113"/>
      <c r="U32" s="113"/>
      <c r="V32" s="113"/>
      <c r="W32" s="113"/>
      <c r="X32" s="113"/>
    </row>
    <row r="33" spans="1:24" ht="12" customHeight="1">
      <c r="A33" s="153">
        <v>28</v>
      </c>
      <c r="B33" s="154" t="s">
        <v>53</v>
      </c>
      <c r="C33" s="154"/>
      <c r="D33" s="148"/>
      <c r="E33" s="148"/>
      <c r="F33" s="117">
        <v>28</v>
      </c>
      <c r="H33" s="155"/>
      <c r="K33" s="36"/>
      <c r="O33" s="35"/>
      <c r="P33" s="113"/>
      <c r="Q33" s="113"/>
      <c r="R33" s="113"/>
      <c r="S33" s="113"/>
      <c r="T33" s="113"/>
      <c r="U33" s="113"/>
      <c r="V33" s="113"/>
      <c r="W33" s="113"/>
      <c r="X33" s="113"/>
    </row>
    <row r="34" spans="1:24" ht="12" customHeight="1">
      <c r="A34" s="153">
        <v>29</v>
      </c>
      <c r="B34" s="154" t="s">
        <v>72</v>
      </c>
      <c r="C34" s="154"/>
      <c r="D34" s="148"/>
      <c r="E34" s="148"/>
      <c r="F34" s="117">
        <v>29</v>
      </c>
      <c r="H34" s="155"/>
      <c r="N34" s="146"/>
      <c r="P34" s="113"/>
      <c r="Q34" s="113"/>
      <c r="R34" s="113"/>
      <c r="S34" s="113"/>
      <c r="T34" s="113"/>
      <c r="U34" s="113"/>
      <c r="V34" s="113"/>
      <c r="W34" s="113"/>
      <c r="X34" s="113"/>
    </row>
    <row r="35" spans="1:24" ht="12" customHeight="1" thickBot="1">
      <c r="A35" s="153">
        <v>30</v>
      </c>
      <c r="B35" s="43" t="s">
        <v>73</v>
      </c>
      <c r="C35" s="43"/>
      <c r="D35" s="148"/>
      <c r="E35" s="148"/>
      <c r="F35" s="117">
        <v>30</v>
      </c>
      <c r="H35" s="273" t="s">
        <v>296</v>
      </c>
      <c r="I35" s="266"/>
      <c r="J35" s="273"/>
      <c r="K35" s="266"/>
      <c r="L35" s="273"/>
      <c r="M35" s="266"/>
      <c r="N35" s="267"/>
      <c r="P35" s="113"/>
      <c r="Q35" s="113"/>
      <c r="R35" s="113"/>
      <c r="S35" s="113"/>
      <c r="T35" s="113"/>
      <c r="U35" s="113"/>
      <c r="V35" s="113"/>
      <c r="W35" s="113"/>
      <c r="X35" s="113"/>
    </row>
    <row r="36" spans="1:24" ht="12" customHeight="1" thickBot="1">
      <c r="A36" s="153">
        <v>31</v>
      </c>
      <c r="B36" s="155" t="s">
        <v>304</v>
      </c>
      <c r="C36" s="154"/>
      <c r="D36" s="151"/>
      <c r="E36" s="151">
        <f>SUM(E23:E35)</f>
        <v>0</v>
      </c>
      <c r="F36" s="117">
        <v>31</v>
      </c>
      <c r="G36" s="153">
        <v>1</v>
      </c>
      <c r="H36" s="271" t="s">
        <v>329</v>
      </c>
      <c r="I36" s="271"/>
      <c r="J36" s="271"/>
      <c r="K36" s="271"/>
      <c r="L36" s="271"/>
      <c r="M36" s="271"/>
      <c r="N36" s="28"/>
      <c r="O36" s="153">
        <v>1</v>
      </c>
      <c r="P36" s="113"/>
      <c r="Q36" s="113"/>
      <c r="R36" s="113"/>
      <c r="S36" s="113"/>
      <c r="T36" s="113"/>
      <c r="U36" s="113"/>
      <c r="V36" s="113"/>
      <c r="W36" s="113"/>
      <c r="X36" s="113"/>
    </row>
    <row r="37" spans="1:24" ht="12" customHeight="1" thickBot="1" thickTop="1">
      <c r="A37" s="272">
        <v>32</v>
      </c>
      <c r="B37" s="155" t="s">
        <v>305</v>
      </c>
      <c r="C37" s="154"/>
      <c r="D37" s="152"/>
      <c r="E37" s="152">
        <f>E22+E36</f>
        <v>5000</v>
      </c>
      <c r="F37" s="117">
        <v>32</v>
      </c>
      <c r="G37" s="153">
        <v>2</v>
      </c>
      <c r="H37" s="271" t="s">
        <v>330</v>
      </c>
      <c r="I37" s="271"/>
      <c r="J37" s="271"/>
      <c r="K37" s="271"/>
      <c r="L37" s="271"/>
      <c r="M37" s="271"/>
      <c r="N37" s="27"/>
      <c r="O37" s="153">
        <v>2</v>
      </c>
      <c r="P37" s="113"/>
      <c r="Q37" s="113"/>
      <c r="R37" s="113"/>
      <c r="S37" s="113"/>
      <c r="T37" s="113"/>
      <c r="U37" s="113"/>
      <c r="V37" s="113"/>
      <c r="W37" s="113"/>
      <c r="X37" s="113"/>
    </row>
    <row r="38" spans="1:24" ht="12" customHeight="1" thickTop="1">
      <c r="A38" s="116"/>
      <c r="F38" s="32"/>
      <c r="G38" s="153">
        <v>3</v>
      </c>
      <c r="H38" s="271" t="s">
        <v>331</v>
      </c>
      <c r="I38" s="271"/>
      <c r="J38" s="292"/>
      <c r="K38" s="293"/>
      <c r="L38" s="271"/>
      <c r="M38" s="271"/>
      <c r="N38" s="27"/>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332</v>
      </c>
      <c r="I39" s="271"/>
      <c r="J39" s="292"/>
      <c r="K39" s="293"/>
      <c r="L39" s="271"/>
      <c r="M39" s="271"/>
      <c r="N39" s="27"/>
      <c r="O39" s="153">
        <v>4</v>
      </c>
      <c r="P39" s="113"/>
      <c r="Q39" s="113"/>
      <c r="R39" s="113"/>
      <c r="S39" s="113"/>
      <c r="T39" s="113"/>
      <c r="U39" s="113"/>
      <c r="V39" s="113"/>
      <c r="W39" s="113"/>
      <c r="X39" s="113"/>
    </row>
    <row r="40" spans="1:24" ht="12.75">
      <c r="A40" s="157">
        <v>1</v>
      </c>
      <c r="B40" s="154" t="s">
        <v>173</v>
      </c>
      <c r="D40" s="27"/>
      <c r="E40" s="28"/>
      <c r="F40" s="32">
        <v>1</v>
      </c>
      <c r="G40" s="153">
        <v>5</v>
      </c>
      <c r="H40" s="43" t="s">
        <v>313</v>
      </c>
      <c r="I40" s="43"/>
      <c r="J40" s="43"/>
      <c r="K40" s="43"/>
      <c r="L40" s="43"/>
      <c r="M40" s="43"/>
      <c r="N40" s="307">
        <f>N39*0.0106</f>
        <v>0</v>
      </c>
      <c r="O40" s="153">
        <v>5</v>
      </c>
      <c r="P40" s="113"/>
      <c r="Q40" s="113"/>
      <c r="R40" s="113"/>
      <c r="S40" s="113"/>
      <c r="T40" s="113"/>
      <c r="U40" s="113"/>
      <c r="V40" s="113"/>
      <c r="W40" s="113"/>
      <c r="X40" s="113"/>
    </row>
    <row r="41" spans="1:24" ht="12" customHeight="1">
      <c r="A41" s="157">
        <v>2</v>
      </c>
      <c r="B41" s="154" t="s">
        <v>156</v>
      </c>
      <c r="D41" s="27"/>
      <c r="E41" s="27"/>
      <c r="F41" s="32">
        <v>2</v>
      </c>
      <c r="G41" s="153">
        <v>6</v>
      </c>
      <c r="H41" s="271" t="s">
        <v>314</v>
      </c>
      <c r="I41" s="271"/>
      <c r="J41" s="292"/>
      <c r="K41" s="293"/>
      <c r="L41" s="271"/>
      <c r="M41" s="271"/>
      <c r="N41" s="27"/>
      <c r="O41" s="153">
        <v>6</v>
      </c>
      <c r="P41" s="113"/>
      <c r="Q41" s="113"/>
      <c r="R41" s="113"/>
      <c r="S41" s="113"/>
      <c r="T41" s="113"/>
      <c r="U41" s="113"/>
      <c r="V41" s="113"/>
      <c r="W41" s="113"/>
      <c r="X41" s="113"/>
    </row>
    <row r="42" spans="1:16" ht="12" customHeight="1">
      <c r="A42" s="157">
        <v>3</v>
      </c>
      <c r="B42" s="154" t="s">
        <v>157</v>
      </c>
      <c r="D42" s="27"/>
      <c r="E42" s="27"/>
      <c r="F42" s="32">
        <v>3</v>
      </c>
      <c r="G42" s="305">
        <v>7</v>
      </c>
      <c r="H42" s="271" t="s">
        <v>315</v>
      </c>
      <c r="I42" s="271"/>
      <c r="J42" s="292"/>
      <c r="K42" s="293"/>
      <c r="L42" s="271"/>
      <c r="M42" s="271"/>
      <c r="N42" s="307">
        <f>N40*0.0765</f>
        <v>0</v>
      </c>
      <c r="O42" s="305">
        <v>7</v>
      </c>
      <c r="P42" s="113"/>
    </row>
    <row r="43" spans="1:15" ht="12" customHeight="1">
      <c r="A43" s="157">
        <v>4</v>
      </c>
      <c r="B43" s="154" t="s">
        <v>158</v>
      </c>
      <c r="D43" s="27"/>
      <c r="E43" s="27"/>
      <c r="F43" s="32">
        <v>4</v>
      </c>
      <c r="G43" s="305">
        <v>8</v>
      </c>
      <c r="H43" s="271" t="s">
        <v>316</v>
      </c>
      <c r="I43" s="271"/>
      <c r="J43" s="292"/>
      <c r="K43" s="293"/>
      <c r="L43" s="271"/>
      <c r="M43" s="271"/>
      <c r="N43" s="307">
        <f>SUM(N40:N42)</f>
        <v>0</v>
      </c>
      <c r="O43" s="305">
        <v>8</v>
      </c>
    </row>
    <row r="44" spans="1:16" ht="12" customHeight="1" thickBot="1">
      <c r="A44" s="157">
        <v>5</v>
      </c>
      <c r="B44" s="154" t="s">
        <v>159</v>
      </c>
      <c r="D44" s="121"/>
      <c r="E44" s="121"/>
      <c r="F44" s="32">
        <v>5</v>
      </c>
      <c r="G44" s="305"/>
      <c r="H44" s="311"/>
      <c r="I44" s="18"/>
      <c r="J44" s="18"/>
      <c r="K44" s="18"/>
      <c r="L44" s="18"/>
      <c r="M44" s="18"/>
      <c r="N44" s="160"/>
      <c r="O44" s="312"/>
      <c r="P44" s="18"/>
    </row>
    <row r="45" spans="1:16" ht="12" customHeight="1" thickBot="1">
      <c r="A45" s="272">
        <v>6</v>
      </c>
      <c r="B45" s="154" t="s">
        <v>160</v>
      </c>
      <c r="D45" s="152"/>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c r="E47" s="147"/>
      <c r="F47" s="32">
        <v>7</v>
      </c>
      <c r="H47" s="18"/>
      <c r="I47" s="37"/>
      <c r="J47" s="37"/>
      <c r="K47" s="37"/>
      <c r="L47" s="37"/>
      <c r="M47" s="37"/>
      <c r="N47" s="308"/>
      <c r="O47" s="18"/>
      <c r="P47" s="18"/>
    </row>
    <row r="48" ht="12" customHeight="1"/>
    <row r="51" ht="12.75" customHeight="1">
      <c r="I51" s="16"/>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0">
      <selection activeCell="J63" sqref="J6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AIBT Non-Profit Charter High School, Inc.</v>
      </c>
      <c r="E1" s="69"/>
      <c r="F1" s="70" t="s">
        <v>54</v>
      </c>
      <c r="G1" s="41" t="str">
        <f>Cover!M1</f>
        <v>Maricopa</v>
      </c>
      <c r="H1" s="101"/>
      <c r="I1" s="101"/>
      <c r="J1" s="101"/>
      <c r="K1" s="70" t="s">
        <v>91</v>
      </c>
      <c r="L1" s="261" t="str">
        <f>Cover!R1</f>
        <v>078286000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3650</v>
      </c>
      <c r="G9" s="168">
        <v>514</v>
      </c>
      <c r="H9" s="127"/>
      <c r="I9" s="127"/>
      <c r="J9" s="286"/>
      <c r="K9" s="179">
        <f>SUM(F7:G9)</f>
        <v>4164</v>
      </c>
      <c r="L9" s="167" t="str">
        <f>IF(J9=0," ",(K9-J9)/J9)</f>
        <v> </v>
      </c>
      <c r="M9" s="107" t="s">
        <v>44</v>
      </c>
      <c r="N9" s="105"/>
    </row>
    <row r="10" spans="1:14" ht="10.5" customHeight="1">
      <c r="A10" s="88"/>
      <c r="B10" s="14"/>
      <c r="C10" s="14" t="s">
        <v>97</v>
      </c>
      <c r="D10" s="14"/>
      <c r="E10" s="3">
        <v>2</v>
      </c>
      <c r="F10" s="106"/>
      <c r="G10" s="106"/>
      <c r="H10" s="127"/>
      <c r="I10" s="127"/>
      <c r="J10" s="33"/>
      <c r="K10" s="10">
        <f>SUM(F10:G10)</f>
        <v>0</v>
      </c>
      <c r="L10" s="12" t="str">
        <f>IF(J10=0," ",(K10-J10)/J10)</f>
        <v> </v>
      </c>
      <c r="M10" s="107" t="s">
        <v>45</v>
      </c>
      <c r="N10" s="105"/>
    </row>
    <row r="11" spans="1:14" ht="10.5" customHeight="1">
      <c r="A11" s="88"/>
      <c r="B11" s="14"/>
      <c r="C11" s="14" t="s">
        <v>161</v>
      </c>
      <c r="D11" s="14"/>
      <c r="E11" s="3">
        <v>3</v>
      </c>
      <c r="F11" s="106"/>
      <c r="G11" s="106"/>
      <c r="H11" s="127"/>
      <c r="I11" s="127"/>
      <c r="J11" s="33"/>
      <c r="K11" s="10">
        <f>SUM(F11:G11)</f>
        <v>0</v>
      </c>
      <c r="L11" s="12" t="str">
        <f>IF(J11=0," ",(K11-J11)/J11)</f>
        <v> </v>
      </c>
      <c r="M11" s="107" t="s">
        <v>107</v>
      </c>
      <c r="N11" s="105"/>
    </row>
    <row r="12" spans="1:13" ht="10.5" customHeight="1">
      <c r="A12" s="94"/>
      <c r="B12" s="31" t="s">
        <v>98</v>
      </c>
      <c r="C12" s="31"/>
      <c r="D12" s="31"/>
      <c r="E12" s="5">
        <v>4</v>
      </c>
      <c r="F12" s="108">
        <f>SUM(F7:F11)</f>
        <v>3650</v>
      </c>
      <c r="G12" s="108">
        <f>SUM(G7:G11)</f>
        <v>514</v>
      </c>
      <c r="H12" s="298"/>
      <c r="I12" s="298"/>
      <c r="J12" s="176"/>
      <c r="K12" s="176">
        <f>SUM(K8:K11)</f>
        <v>4164</v>
      </c>
      <c r="L12" s="163" t="str">
        <f>IF(J12=0," ",(K12-J12)/J12)</f>
        <v> </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c r="K14" s="179">
        <f>SUM(F13:G14)</f>
        <v>0</v>
      </c>
      <c r="L14" s="167" t="str">
        <f>IF(J14=0," ",(K14-J14)/J14)</f>
        <v> </v>
      </c>
      <c r="M14" s="107" t="s">
        <v>109</v>
      </c>
      <c r="N14" s="105"/>
    </row>
    <row r="15" spans="1:14" ht="10.5" customHeight="1">
      <c r="A15" s="88"/>
      <c r="B15" s="14"/>
      <c r="C15" s="14" t="s">
        <v>97</v>
      </c>
      <c r="D15" s="14"/>
      <c r="E15" s="3">
        <v>6</v>
      </c>
      <c r="F15" s="8"/>
      <c r="G15" s="8"/>
      <c r="H15" s="127"/>
      <c r="I15" s="127"/>
      <c r="J15" s="33"/>
      <c r="K15" s="10">
        <f>SUM(F15:G15)</f>
        <v>0</v>
      </c>
      <c r="L15" s="12" t="str">
        <f>IF(J15=0," ",(K15-J15)/J15)</f>
        <v> </v>
      </c>
      <c r="M15" s="107" t="s">
        <v>110</v>
      </c>
      <c r="N15" s="105"/>
    </row>
    <row r="16" spans="1:14" ht="10.5" customHeight="1">
      <c r="A16" s="88"/>
      <c r="B16" s="14"/>
      <c r="C16" s="14" t="s">
        <v>161</v>
      </c>
      <c r="D16" s="14"/>
      <c r="E16" s="3">
        <v>7</v>
      </c>
      <c r="F16" s="8"/>
      <c r="G16" s="8"/>
      <c r="H16" s="127"/>
      <c r="I16" s="127"/>
      <c r="J16" s="8"/>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c r="K19" s="179">
        <f>SUM(F18:G19)</f>
        <v>0</v>
      </c>
      <c r="L19" s="167" t="str">
        <f>IF(J19=0," ",(K19-J19)/J19)</f>
        <v> </v>
      </c>
      <c r="M19" s="107" t="s">
        <v>113</v>
      </c>
      <c r="N19" s="105"/>
    </row>
    <row r="20" spans="1:14" ht="10.5" customHeight="1">
      <c r="A20" s="88"/>
      <c r="B20" s="14"/>
      <c r="C20" s="14" t="s">
        <v>97</v>
      </c>
      <c r="D20" s="14"/>
      <c r="E20" s="3">
        <v>10</v>
      </c>
      <c r="F20" s="8"/>
      <c r="G20" s="8"/>
      <c r="H20" s="127"/>
      <c r="I20" s="127"/>
      <c r="J20" s="33"/>
      <c r="K20" s="10">
        <f>SUM(F20:G20)</f>
        <v>0</v>
      </c>
      <c r="L20" s="12" t="str">
        <f>IF(J20=0," ",(K20-J20)/J20)</f>
        <v> </v>
      </c>
      <c r="M20" s="107" t="s">
        <v>114</v>
      </c>
      <c r="N20" s="105"/>
    </row>
    <row r="21" spans="1:14" ht="10.5" customHeight="1">
      <c r="A21" s="88"/>
      <c r="B21" s="14"/>
      <c r="C21" s="14" t="s">
        <v>161</v>
      </c>
      <c r="D21" s="14"/>
      <c r="E21" s="3">
        <v>11</v>
      </c>
      <c r="F21" s="8"/>
      <c r="G21" s="8"/>
      <c r="H21" s="127"/>
      <c r="I21" s="127"/>
      <c r="J21" s="8"/>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c r="K22" s="9">
        <f>SUM(K19:K21)</f>
        <v>0</v>
      </c>
      <c r="L22" s="12" t="str">
        <f>IF(J22=0," ",(K22-J22)/J22)</f>
        <v> </v>
      </c>
      <c r="M22" s="107" t="s">
        <v>116</v>
      </c>
      <c r="N22" s="105"/>
    </row>
    <row r="23" spans="1:14" ht="12.75" customHeight="1">
      <c r="A23" s="94" t="s">
        <v>102</v>
      </c>
      <c r="B23" s="31"/>
      <c r="C23" s="31"/>
      <c r="D23" s="31"/>
      <c r="E23" s="5">
        <v>13</v>
      </c>
      <c r="F23" s="9">
        <f>F12+F17+F22</f>
        <v>3650</v>
      </c>
      <c r="G23" s="9">
        <f>G12+G17+G22</f>
        <v>514</v>
      </c>
      <c r="H23" s="285"/>
      <c r="I23" s="285"/>
      <c r="J23" s="9"/>
      <c r="K23" s="9">
        <f>K12+K17+K22</f>
        <v>4164</v>
      </c>
      <c r="L23" s="12" t="str">
        <f>IF(J23=0," ",(K23-J23)/J23)</f>
        <v> </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6600</v>
      </c>
      <c r="G26" s="175">
        <v>929</v>
      </c>
      <c r="H26" s="301"/>
      <c r="I26" s="127"/>
      <c r="J26" s="286"/>
      <c r="K26" s="179">
        <f>SUM(F24:G26)</f>
        <v>7529</v>
      </c>
      <c r="L26" s="12" t="str">
        <f>IF(J26=0," ",(K26-J26)/J26)</f>
        <v> </v>
      </c>
      <c r="M26" s="107" t="s">
        <v>118</v>
      </c>
      <c r="N26" s="105"/>
    </row>
    <row r="27" spans="1:14" ht="10.5" customHeight="1">
      <c r="A27" s="88"/>
      <c r="B27" s="14"/>
      <c r="C27" s="14" t="s">
        <v>97</v>
      </c>
      <c r="D27" s="14"/>
      <c r="E27" s="3">
        <v>15</v>
      </c>
      <c r="F27" s="111"/>
      <c r="G27" s="111"/>
      <c r="H27" s="127"/>
      <c r="I27" s="127"/>
      <c r="J27" s="33"/>
      <c r="K27" s="10">
        <f>SUM(F27:G27)</f>
        <v>0</v>
      </c>
      <c r="L27" s="12" t="str">
        <f>IF(J27=0," ",(K27-J27)/J27)</f>
        <v> </v>
      </c>
      <c r="M27" s="107" t="s">
        <v>119</v>
      </c>
      <c r="N27" s="105"/>
    </row>
    <row r="28" spans="1:14" ht="10.5" customHeight="1">
      <c r="A28" s="88"/>
      <c r="B28" s="14"/>
      <c r="C28" s="14" t="s">
        <v>161</v>
      </c>
      <c r="D28" s="14"/>
      <c r="E28" s="3">
        <v>16</v>
      </c>
      <c r="F28" s="111"/>
      <c r="G28" s="111"/>
      <c r="H28" s="127"/>
      <c r="I28" s="127"/>
      <c r="J28" s="8"/>
      <c r="K28" s="9">
        <f>SUM(F28:G28)</f>
        <v>0</v>
      </c>
      <c r="L28" s="12" t="str">
        <f>IF(J28=0," ",(K28-J28)/J28)</f>
        <v> </v>
      </c>
      <c r="M28" s="107" t="s">
        <v>120</v>
      </c>
      <c r="N28" s="105"/>
    </row>
    <row r="29" spans="1:13" ht="10.5" customHeight="1">
      <c r="A29" s="94"/>
      <c r="B29" s="31" t="s">
        <v>103</v>
      </c>
      <c r="C29" s="31"/>
      <c r="D29" s="31"/>
      <c r="E29" s="5">
        <v>17</v>
      </c>
      <c r="F29" s="112">
        <f>SUM(F24:F28)</f>
        <v>6600</v>
      </c>
      <c r="G29" s="112">
        <f>SUM(G24:G28)</f>
        <v>929</v>
      </c>
      <c r="H29" s="285"/>
      <c r="I29" s="285"/>
      <c r="J29" s="177"/>
      <c r="K29" s="177">
        <f>SUM(K25:K28)</f>
        <v>7529</v>
      </c>
      <c r="L29" s="163" t="str">
        <f>IF(J29=0," ",(K29-J29)/J29)</f>
        <v> </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c r="K31" s="179">
        <f>SUM(F30:G31)</f>
        <v>0</v>
      </c>
      <c r="L31" s="167" t="str">
        <f>IF(J31=0," ",(K31-J31)/J31)</f>
        <v> </v>
      </c>
      <c r="M31" s="107" t="s">
        <v>122</v>
      </c>
      <c r="N31" s="105"/>
    </row>
    <row r="32" spans="1:14" ht="10.5" customHeight="1">
      <c r="A32" s="88"/>
      <c r="B32" s="14"/>
      <c r="C32" s="14" t="s">
        <v>97</v>
      </c>
      <c r="D32" s="14"/>
      <c r="E32" s="3">
        <v>19</v>
      </c>
      <c r="F32" s="8"/>
      <c r="G32" s="8"/>
      <c r="H32" s="127"/>
      <c r="I32" s="127"/>
      <c r="J32" s="33"/>
      <c r="K32" s="10">
        <f>SUM(F32:G32)</f>
        <v>0</v>
      </c>
      <c r="L32" s="12" t="str">
        <f>IF(J32=0," ",(K32-J32)/J32)</f>
        <v> </v>
      </c>
      <c r="M32" s="107" t="s">
        <v>123</v>
      </c>
      <c r="N32" s="105"/>
    </row>
    <row r="33" spans="1:14" ht="10.5" customHeight="1">
      <c r="A33" s="88"/>
      <c r="B33" s="14"/>
      <c r="C33" s="14" t="s">
        <v>161</v>
      </c>
      <c r="D33" s="14"/>
      <c r="E33" s="3">
        <v>20</v>
      </c>
      <c r="F33" s="8"/>
      <c r="G33" s="8"/>
      <c r="H33" s="127"/>
      <c r="I33" s="127"/>
      <c r="J33" s="8"/>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c r="K36" s="179">
        <f>SUM(F35:G36)</f>
        <v>0</v>
      </c>
      <c r="L36" s="167" t="str">
        <f>IF(J36=0," ",(K36-J36)/J36)</f>
        <v> </v>
      </c>
      <c r="M36" s="107" t="s">
        <v>126</v>
      </c>
      <c r="N36" s="105"/>
    </row>
    <row r="37" spans="1:14" ht="10.5" customHeight="1">
      <c r="A37" s="88"/>
      <c r="B37" s="14"/>
      <c r="C37" s="14" t="s">
        <v>97</v>
      </c>
      <c r="D37" s="14"/>
      <c r="E37" s="3">
        <v>23</v>
      </c>
      <c r="F37" s="8"/>
      <c r="G37" s="8"/>
      <c r="H37" s="127"/>
      <c r="I37" s="127"/>
      <c r="J37" s="33"/>
      <c r="K37" s="10">
        <f>SUM(F37:G37)</f>
        <v>0</v>
      </c>
      <c r="L37" s="12" t="str">
        <f>IF(J37=0," ",(K37-J37)/J37)</f>
        <v> </v>
      </c>
      <c r="M37" s="107" t="s">
        <v>127</v>
      </c>
      <c r="N37" s="105"/>
    </row>
    <row r="38" spans="1:14" ht="10.5" customHeight="1">
      <c r="A38" s="88"/>
      <c r="B38" s="14"/>
      <c r="C38" s="14" t="s">
        <v>161</v>
      </c>
      <c r="D38" s="14"/>
      <c r="E38" s="3">
        <v>24</v>
      </c>
      <c r="F38" s="8"/>
      <c r="G38" s="8"/>
      <c r="H38" s="127"/>
      <c r="I38" s="127"/>
      <c r="J38" s="8"/>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c r="K39" s="9">
        <f>SUM(K36:K38)</f>
        <v>0</v>
      </c>
      <c r="L39" s="12" t="str">
        <f>IF(J39=0," ",(K39-J39)/J39)</f>
        <v> </v>
      </c>
      <c r="M39" s="107" t="s">
        <v>129</v>
      </c>
      <c r="N39" s="105"/>
    </row>
    <row r="40" spans="1:14" ht="12.75" customHeight="1">
      <c r="A40" s="94" t="s">
        <v>106</v>
      </c>
      <c r="B40" s="31"/>
      <c r="C40" s="31"/>
      <c r="D40" s="31"/>
      <c r="E40" s="5">
        <v>26</v>
      </c>
      <c r="F40" s="10">
        <f>F29+F34+F39</f>
        <v>6600</v>
      </c>
      <c r="G40" s="10">
        <f>G29+G34+G39</f>
        <v>929</v>
      </c>
      <c r="H40" s="127"/>
      <c r="I40" s="127"/>
      <c r="J40" s="10"/>
      <c r="K40" s="10">
        <f>K29+K34+K39</f>
        <v>7529</v>
      </c>
      <c r="L40" s="12" t="str">
        <f>IF(J40=0," ",(K40-J40)/J40)</f>
        <v> </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7300</v>
      </c>
      <c r="G43" s="106">
        <v>1028</v>
      </c>
      <c r="H43" s="106"/>
      <c r="I43" s="168"/>
      <c r="J43" s="106"/>
      <c r="K43" s="108">
        <f>SUM(F43:I43)</f>
        <v>8328</v>
      </c>
      <c r="L43" s="167" t="str">
        <f>IF(J43=0," ",(K43-J43)/J43)</f>
        <v> </v>
      </c>
      <c r="M43" s="2">
        <v>27</v>
      </c>
      <c r="N43" s="2"/>
    </row>
    <row r="44" spans="1:13" ht="10.5" customHeight="1">
      <c r="A44" s="88"/>
      <c r="C44" s="14" t="s">
        <v>162</v>
      </c>
      <c r="D44" s="14"/>
      <c r="E44" s="3">
        <v>28</v>
      </c>
      <c r="F44" s="144"/>
      <c r="G44" s="106"/>
      <c r="H44" s="106"/>
      <c r="I44" s="106"/>
      <c r="J44" s="26"/>
      <c r="K44" s="132">
        <f>SUM(F44:I44)</f>
        <v>0</v>
      </c>
      <c r="L44" s="133" t="str">
        <f>IF(J44=0," ",(K44-J44)/J44)</f>
        <v> </v>
      </c>
      <c r="M44" s="91">
        <v>28</v>
      </c>
    </row>
    <row r="45" spans="1:13" ht="10.5" customHeight="1">
      <c r="A45" s="88"/>
      <c r="C45" s="14" t="s">
        <v>161</v>
      </c>
      <c r="D45" s="14"/>
      <c r="E45" s="3">
        <v>29</v>
      </c>
      <c r="F45" s="145"/>
      <c r="G45" s="25"/>
      <c r="H45" s="25"/>
      <c r="I45" s="25"/>
      <c r="J45" s="26"/>
      <c r="K45" s="20">
        <f>SUM(F45:I45)</f>
        <v>0</v>
      </c>
      <c r="L45" s="131" t="str">
        <f>IF(J45=0," ",(K45-J45)/J45)</f>
        <v> </v>
      </c>
      <c r="M45" s="91">
        <v>29</v>
      </c>
    </row>
    <row r="46" spans="1:13" ht="10.5" customHeight="1">
      <c r="A46" s="94"/>
      <c r="B46" s="137" t="s">
        <v>259</v>
      </c>
      <c r="C46" s="31"/>
      <c r="D46" s="31"/>
      <c r="E46" s="23">
        <v>30</v>
      </c>
      <c r="F46" s="29">
        <f>SUM(F41:F45)</f>
        <v>7300</v>
      </c>
      <c r="G46" s="6">
        <f>SUM(G41:G45)</f>
        <v>1028</v>
      </c>
      <c r="H46" s="6">
        <f>SUM(H41:H45)</f>
        <v>0</v>
      </c>
      <c r="I46" s="6">
        <f>SUM(I41:I45)</f>
        <v>0</v>
      </c>
      <c r="J46" s="164"/>
      <c r="K46" s="164">
        <f>SUM(F46:I46)</f>
        <v>8328</v>
      </c>
      <c r="L46" s="163" t="str">
        <f>IF(J46=0," ",(K46-J46)/J46)</f>
        <v> </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c r="K48" s="108">
        <f>SUM(F48:I48)</f>
        <v>0</v>
      </c>
      <c r="L48" s="167" t="str">
        <f>IF(J48=0," ",(K48-J48)/J48)</f>
        <v> </v>
      </c>
      <c r="M48" s="2">
        <v>31</v>
      </c>
    </row>
    <row r="49" spans="1:13" ht="10.5" customHeight="1">
      <c r="A49" s="88"/>
      <c r="C49" s="14" t="s">
        <v>162</v>
      </c>
      <c r="D49" s="14"/>
      <c r="E49" s="21">
        <v>32</v>
      </c>
      <c r="F49" s="144"/>
      <c r="G49" s="106"/>
      <c r="H49" s="106"/>
      <c r="I49" s="106"/>
      <c r="J49" s="106"/>
      <c r="K49" s="128">
        <f>SUM(F49:I49)</f>
        <v>0</v>
      </c>
      <c r="L49" s="129" t="str">
        <f>IF(J49=0," ",(K49-J49)/J49)</f>
        <v> </v>
      </c>
      <c r="M49" s="91">
        <v>32</v>
      </c>
    </row>
    <row r="50" spans="1:13" ht="10.5" customHeight="1">
      <c r="A50" s="88"/>
      <c r="C50" s="14" t="s">
        <v>161</v>
      </c>
      <c r="D50" s="14"/>
      <c r="E50" s="21">
        <v>33</v>
      </c>
      <c r="F50" s="145"/>
      <c r="G50" s="25"/>
      <c r="H50" s="25"/>
      <c r="I50" s="25"/>
      <c r="J50" s="26"/>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c r="K55" s="108">
        <f>SUM(F55:I55)</f>
        <v>0</v>
      </c>
      <c r="L55" s="167" t="str">
        <f>IF(J55=0," ",(K55-J55)/J55)</f>
        <v> </v>
      </c>
      <c r="M55" s="2">
        <v>36</v>
      </c>
    </row>
    <row r="56" spans="1:13" ht="10.5" customHeight="1">
      <c r="A56" s="88"/>
      <c r="C56" s="138" t="s">
        <v>182</v>
      </c>
      <c r="D56" s="14"/>
      <c r="E56" s="3">
        <v>37</v>
      </c>
      <c r="F56" s="145"/>
      <c r="G56" s="25"/>
      <c r="H56" s="25"/>
      <c r="I56" s="25"/>
      <c r="J56" s="25"/>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c r="K57" s="6">
        <f>SUM(F57:I57)</f>
        <v>0</v>
      </c>
      <c r="L57" s="12" t="str">
        <f t="shared" si="0"/>
        <v> </v>
      </c>
      <c r="M57" s="91">
        <v>38</v>
      </c>
    </row>
    <row r="58" spans="1:13" ht="12.75" customHeight="1">
      <c r="A58" s="139" t="s">
        <v>262</v>
      </c>
      <c r="B58" s="96"/>
      <c r="C58" s="31"/>
      <c r="D58" s="96"/>
      <c r="E58" s="22">
        <v>39</v>
      </c>
      <c r="F58" s="29">
        <f>F46+F51+F52+F53+F57</f>
        <v>7300</v>
      </c>
      <c r="G58" s="6">
        <f>G46+G51+G52+G53+G57</f>
        <v>1028</v>
      </c>
      <c r="H58" s="6">
        <f>H46+H51+H52+H53+H57</f>
        <v>0</v>
      </c>
      <c r="I58" s="6">
        <f>I46+I51+I52+I53+I57</f>
        <v>0</v>
      </c>
      <c r="J58" s="6"/>
      <c r="K58" s="6">
        <f>K46+K51+K53+K57</f>
        <v>8328</v>
      </c>
      <c r="L58" s="12" t="str">
        <f t="shared" si="0"/>
        <v> </v>
      </c>
      <c r="M58" s="91">
        <v>39</v>
      </c>
    </row>
    <row r="59" spans="1:13" ht="12.75">
      <c r="A59" s="139" t="s">
        <v>263</v>
      </c>
      <c r="B59" s="96"/>
      <c r="C59" s="96"/>
      <c r="D59" s="96"/>
      <c r="E59" s="22">
        <v>40</v>
      </c>
      <c r="F59" s="29">
        <f>F23+F40+F58</f>
        <v>17550</v>
      </c>
      <c r="G59" s="29">
        <f>G23+G40+G58</f>
        <v>2471</v>
      </c>
      <c r="H59" s="30">
        <f>H58</f>
        <v>0</v>
      </c>
      <c r="I59" s="30">
        <f>I58</f>
        <v>0</v>
      </c>
      <c r="J59" s="30"/>
      <c r="K59" s="29">
        <f>SUM(F59:I59)</f>
        <v>20021</v>
      </c>
      <c r="L59" s="12" t="str">
        <f t="shared" si="0"/>
        <v> </v>
      </c>
      <c r="M59" s="91">
        <v>40</v>
      </c>
    </row>
    <row r="60" ht="6.75" customHeight="1"/>
    <row r="61" ht="7.5" customHeight="1"/>
    <row r="62" ht="6.75" customHeight="1"/>
    <row r="63" ht="9" customHeight="1"/>
  </sheetData>
  <sheetProtection/>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0">
      <selection activeCell="H48" sqref="H48:H4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AIBT Non-Profit Charter High School, Inc.</v>
      </c>
      <c r="E1" s="368"/>
      <c r="F1" s="368"/>
      <c r="G1" s="69"/>
      <c r="H1" s="17"/>
      <c r="I1" s="70" t="s">
        <v>54</v>
      </c>
      <c r="J1" s="355" t="str">
        <f>Cover!M1</f>
        <v>Maricopa</v>
      </c>
      <c r="K1" s="355"/>
      <c r="L1" s="17"/>
      <c r="M1" s="70" t="s">
        <v>91</v>
      </c>
      <c r="N1" s="355" t="str">
        <f>Cover!R1</f>
        <v>078286000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c r="G9" s="185"/>
      <c r="H9" s="106"/>
      <c r="I9" s="106"/>
      <c r="J9" s="106"/>
      <c r="K9" s="106"/>
      <c r="L9" s="168"/>
      <c r="M9" s="106"/>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c r="G11" s="185"/>
      <c r="H11" s="106"/>
      <c r="I11" s="106"/>
      <c r="J11" s="106"/>
      <c r="K11" s="106"/>
      <c r="L11" s="168"/>
      <c r="M11" s="106"/>
      <c r="N11" s="108">
        <f>SUM(H10:L11)</f>
        <v>0</v>
      </c>
      <c r="O11" s="167" t="str">
        <f>IF(M11=0," ",(N11-M11)/M11)</f>
        <v> </v>
      </c>
      <c r="P11" s="2">
        <v>2</v>
      </c>
    </row>
    <row r="12" spans="1:16" ht="12.75">
      <c r="A12" s="88"/>
      <c r="B12" s="14"/>
      <c r="C12" s="14" t="s">
        <v>166</v>
      </c>
      <c r="D12" s="14"/>
      <c r="E12" s="21">
        <v>3</v>
      </c>
      <c r="F12" s="143"/>
      <c r="G12" s="134"/>
      <c r="H12" s="135"/>
      <c r="I12" s="135"/>
      <c r="J12" s="135"/>
      <c r="K12" s="135"/>
      <c r="L12" s="135"/>
      <c r="M12" s="34"/>
      <c r="N12" s="6">
        <f aca="true" t="shared" si="0" ref="N12:N17">SUM(H12:L12)</f>
        <v>0</v>
      </c>
      <c r="O12" s="166" t="str">
        <f aca="true" t="shared" si="1" ref="O12:O18">IF(M12=0," ",(N12-M12)/M12)</f>
        <v> </v>
      </c>
      <c r="P12" s="91">
        <v>3</v>
      </c>
    </row>
    <row r="13" spans="1:16" ht="12.75">
      <c r="A13" s="88"/>
      <c r="B13" s="14"/>
      <c r="C13" s="14" t="s">
        <v>164</v>
      </c>
      <c r="D13" s="14"/>
      <c r="E13" s="21">
        <v>4</v>
      </c>
      <c r="F13" s="142"/>
      <c r="G13" s="134"/>
      <c r="H13" s="135"/>
      <c r="I13" s="135"/>
      <c r="J13" s="135"/>
      <c r="K13" s="135"/>
      <c r="L13" s="135"/>
      <c r="M13" s="135"/>
      <c r="N13" s="20">
        <f t="shared" si="0"/>
        <v>0</v>
      </c>
      <c r="O13" s="136" t="str">
        <f t="shared" si="1"/>
        <v> </v>
      </c>
      <c r="P13" s="91">
        <v>4</v>
      </c>
    </row>
    <row r="14" spans="1:16" ht="12.75">
      <c r="A14" s="88"/>
      <c r="B14" s="14"/>
      <c r="C14" s="14" t="s">
        <v>165</v>
      </c>
      <c r="D14" s="14"/>
      <c r="E14" s="21">
        <v>5</v>
      </c>
      <c r="F14" s="142"/>
      <c r="G14" s="134"/>
      <c r="H14" s="135"/>
      <c r="I14" s="135"/>
      <c r="J14" s="135"/>
      <c r="K14" s="135"/>
      <c r="L14" s="135"/>
      <c r="M14" s="135"/>
      <c r="N14" s="20">
        <f t="shared" si="0"/>
        <v>0</v>
      </c>
      <c r="O14" s="136" t="str">
        <f t="shared" si="1"/>
        <v> </v>
      </c>
      <c r="P14" s="91">
        <v>5</v>
      </c>
    </row>
    <row r="15" spans="1:16" ht="12.75">
      <c r="A15" s="88"/>
      <c r="B15" s="14"/>
      <c r="C15" s="14" t="s">
        <v>167</v>
      </c>
      <c r="D15" s="14"/>
      <c r="E15" s="21">
        <v>6</v>
      </c>
      <c r="F15" s="142"/>
      <c r="G15" s="134"/>
      <c r="H15" s="135"/>
      <c r="I15" s="135"/>
      <c r="J15" s="135"/>
      <c r="K15" s="135"/>
      <c r="L15" s="135"/>
      <c r="M15" s="135"/>
      <c r="N15" s="20">
        <f t="shared" si="0"/>
        <v>0</v>
      </c>
      <c r="O15" s="136" t="str">
        <f t="shared" si="1"/>
        <v> </v>
      </c>
      <c r="P15" s="91">
        <v>6</v>
      </c>
    </row>
    <row r="16" spans="1:16" ht="12.75">
      <c r="A16" s="88"/>
      <c r="B16" s="14"/>
      <c r="C16" s="14" t="s">
        <v>168</v>
      </c>
      <c r="D16" s="14"/>
      <c r="E16" s="21">
        <v>7</v>
      </c>
      <c r="F16" s="142"/>
      <c r="G16" s="92"/>
      <c r="H16" s="26"/>
      <c r="I16" s="26"/>
      <c r="J16" s="26"/>
      <c r="K16" s="26"/>
      <c r="L16" s="26"/>
      <c r="M16" s="135"/>
      <c r="N16" s="20">
        <f t="shared" si="0"/>
        <v>0</v>
      </c>
      <c r="O16" s="136" t="str">
        <f t="shared" si="1"/>
        <v> </v>
      </c>
      <c r="P16" s="91">
        <v>7</v>
      </c>
    </row>
    <row r="17" spans="1:16" ht="12.75">
      <c r="A17" s="88"/>
      <c r="B17" s="14"/>
      <c r="C17" s="14" t="s">
        <v>171</v>
      </c>
      <c r="D17" s="14"/>
      <c r="E17" s="21">
        <v>8</v>
      </c>
      <c r="F17" s="142"/>
      <c r="G17" s="93"/>
      <c r="H17" s="25"/>
      <c r="I17" s="25"/>
      <c r="J17" s="25"/>
      <c r="K17" s="25"/>
      <c r="L17" s="25"/>
      <c r="M17" s="135"/>
      <c r="N17" s="20">
        <f t="shared" si="0"/>
        <v>0</v>
      </c>
      <c r="O17" s="136" t="str">
        <f t="shared" si="1"/>
        <v> </v>
      </c>
      <c r="P17" s="91">
        <v>8</v>
      </c>
    </row>
    <row r="18" spans="1:16" ht="12.75">
      <c r="A18" s="94"/>
      <c r="B18" s="137" t="s">
        <v>177</v>
      </c>
      <c r="C18" s="31"/>
      <c r="D18" s="31"/>
      <c r="E18" s="23">
        <v>9</v>
      </c>
      <c r="F18" s="190"/>
      <c r="G18" s="95">
        <f aca="true" t="shared" si="2" ref="G18:L18">SUM(G7:G17)</f>
        <v>0</v>
      </c>
      <c r="H18" s="6">
        <f t="shared" si="2"/>
        <v>0</v>
      </c>
      <c r="I18" s="6">
        <f t="shared" si="2"/>
        <v>0</v>
      </c>
      <c r="J18" s="6">
        <f t="shared" si="2"/>
        <v>0</v>
      </c>
      <c r="K18" s="6">
        <f t="shared" si="2"/>
        <v>0</v>
      </c>
      <c r="L18" s="6">
        <f t="shared" si="2"/>
        <v>0</v>
      </c>
      <c r="M18" s="164"/>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c r="G21" s="185"/>
      <c r="H21" s="106"/>
      <c r="I21" s="106"/>
      <c r="J21" s="106"/>
      <c r="K21" s="106"/>
      <c r="L21" s="168"/>
      <c r="M21" s="106"/>
      <c r="N21" s="169">
        <f>SUM(H19:L21)</f>
        <v>0</v>
      </c>
      <c r="O21" s="183" t="str">
        <f>IF(M21=0," ",(N21-M21)/M21)</f>
        <v> </v>
      </c>
      <c r="P21" s="2">
        <v>10</v>
      </c>
    </row>
    <row r="22" spans="1:16" ht="12.75">
      <c r="A22" s="139" t="s">
        <v>178</v>
      </c>
      <c r="B22" s="96"/>
      <c r="C22" s="96"/>
      <c r="D22" s="96"/>
      <c r="E22" s="22">
        <v>11</v>
      </c>
      <c r="F22" s="95"/>
      <c r="G22" s="95">
        <f aca="true" t="shared" si="3" ref="G22:L22">SUM(G18:G21)</f>
        <v>0</v>
      </c>
      <c r="H22" s="20">
        <f t="shared" si="3"/>
        <v>0</v>
      </c>
      <c r="I22" s="20">
        <f t="shared" si="3"/>
        <v>0</v>
      </c>
      <c r="J22" s="20">
        <f t="shared" si="3"/>
        <v>0</v>
      </c>
      <c r="K22" s="20">
        <f t="shared" si="3"/>
        <v>0</v>
      </c>
      <c r="L22" s="20">
        <f t="shared" si="3"/>
        <v>0</v>
      </c>
      <c r="M22" s="6"/>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c r="G30" s="185"/>
      <c r="H30" s="106"/>
      <c r="I30" s="106"/>
      <c r="J30" s="106"/>
      <c r="K30" s="106"/>
      <c r="L30" s="168"/>
      <c r="M30" s="106"/>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c r="G32" s="185"/>
      <c r="H32" s="106"/>
      <c r="I32" s="106"/>
      <c r="J32" s="106"/>
      <c r="K32" s="106"/>
      <c r="L32" s="168"/>
      <c r="M32" s="106"/>
      <c r="N32" s="108">
        <f>SUM(H31:L32)</f>
        <v>0</v>
      </c>
      <c r="O32" s="167" t="str">
        <f>IF(M32=0," ",(N32-M32)/M32)</f>
        <v> </v>
      </c>
      <c r="P32" s="2">
        <v>13</v>
      </c>
    </row>
    <row r="33" spans="1:16" ht="12.75">
      <c r="A33" s="88"/>
      <c r="B33" s="17"/>
      <c r="C33" s="14" t="s">
        <v>166</v>
      </c>
      <c r="D33" s="14"/>
      <c r="E33" s="21">
        <v>14</v>
      </c>
      <c r="F33" s="143"/>
      <c r="G33" s="134"/>
      <c r="H33" s="135"/>
      <c r="I33" s="135"/>
      <c r="J33" s="135"/>
      <c r="K33" s="135"/>
      <c r="L33" s="135"/>
      <c r="M33" s="34"/>
      <c r="N33" s="6">
        <f aca="true" t="shared" si="4" ref="N33:N38">SUM(H33:L33)</f>
        <v>0</v>
      </c>
      <c r="O33" s="166" t="str">
        <f aca="true" t="shared" si="5" ref="O33:O39">IF(M33=0," ",(N33-M33)/M33)</f>
        <v> </v>
      </c>
      <c r="P33" s="91">
        <v>14</v>
      </c>
    </row>
    <row r="34" spans="1:16" ht="12.75">
      <c r="A34" s="88"/>
      <c r="B34" s="17"/>
      <c r="C34" s="14" t="s">
        <v>164</v>
      </c>
      <c r="D34" s="14"/>
      <c r="E34" s="21">
        <v>15</v>
      </c>
      <c r="F34" s="143"/>
      <c r="G34" s="90"/>
      <c r="H34" s="34"/>
      <c r="I34" s="34"/>
      <c r="J34" s="34"/>
      <c r="K34" s="34"/>
      <c r="L34" s="34"/>
      <c r="M34" s="135"/>
      <c r="N34" s="20">
        <f t="shared" si="4"/>
        <v>0</v>
      </c>
      <c r="O34" s="136" t="str">
        <f t="shared" si="5"/>
        <v> </v>
      </c>
      <c r="P34" s="91">
        <v>15</v>
      </c>
    </row>
    <row r="35" spans="1:16" ht="12.75">
      <c r="A35" s="88"/>
      <c r="B35" s="17"/>
      <c r="C35" s="14" t="s">
        <v>165</v>
      </c>
      <c r="D35" s="14"/>
      <c r="E35" s="21">
        <v>16</v>
      </c>
      <c r="F35" s="143"/>
      <c r="G35" s="90"/>
      <c r="H35" s="34"/>
      <c r="I35" s="34"/>
      <c r="J35" s="34"/>
      <c r="K35" s="34"/>
      <c r="L35" s="34"/>
      <c r="M35" s="135"/>
      <c r="N35" s="20">
        <f t="shared" si="4"/>
        <v>0</v>
      </c>
      <c r="O35" s="136" t="str">
        <f t="shared" si="5"/>
        <v> </v>
      </c>
      <c r="P35" s="91">
        <v>16</v>
      </c>
    </row>
    <row r="36" spans="1:16" ht="12.75">
      <c r="A36" s="88"/>
      <c r="B36" s="17"/>
      <c r="C36" s="14" t="s">
        <v>167</v>
      </c>
      <c r="D36" s="14"/>
      <c r="E36" s="21">
        <v>17</v>
      </c>
      <c r="F36" s="143"/>
      <c r="G36" s="90"/>
      <c r="H36" s="34"/>
      <c r="I36" s="34"/>
      <c r="J36" s="34"/>
      <c r="K36" s="34"/>
      <c r="L36" s="34"/>
      <c r="M36" s="135"/>
      <c r="N36" s="20">
        <f t="shared" si="4"/>
        <v>0</v>
      </c>
      <c r="O36" s="136" t="str">
        <f t="shared" si="5"/>
        <v> </v>
      </c>
      <c r="P36" s="91">
        <v>17</v>
      </c>
    </row>
    <row r="37" spans="1:16" ht="12.75">
      <c r="A37" s="88"/>
      <c r="B37" s="17"/>
      <c r="C37" s="14" t="s">
        <v>168</v>
      </c>
      <c r="D37" s="14"/>
      <c r="E37" s="21">
        <v>18</v>
      </c>
      <c r="F37" s="142"/>
      <c r="G37" s="92"/>
      <c r="H37" s="26"/>
      <c r="I37" s="26"/>
      <c r="J37" s="26"/>
      <c r="K37" s="26"/>
      <c r="L37" s="26"/>
      <c r="M37" s="135"/>
      <c r="N37" s="20">
        <f t="shared" si="4"/>
        <v>0</v>
      </c>
      <c r="O37" s="136" t="str">
        <f t="shared" si="5"/>
        <v> </v>
      </c>
      <c r="P37" s="91">
        <v>18</v>
      </c>
    </row>
    <row r="38" spans="1:16" ht="12.75">
      <c r="A38" s="88"/>
      <c r="B38" s="17"/>
      <c r="C38" s="14" t="s">
        <v>171</v>
      </c>
      <c r="D38" s="14"/>
      <c r="E38" s="21">
        <v>19</v>
      </c>
      <c r="F38" s="143"/>
      <c r="G38" s="93"/>
      <c r="H38" s="25"/>
      <c r="I38" s="25"/>
      <c r="J38" s="25"/>
      <c r="K38" s="25"/>
      <c r="L38" s="25"/>
      <c r="M38" s="135"/>
      <c r="N38" s="20">
        <f t="shared" si="4"/>
        <v>0</v>
      </c>
      <c r="O38" s="136" t="str">
        <f t="shared" si="5"/>
        <v> </v>
      </c>
      <c r="P38" s="91">
        <v>19</v>
      </c>
    </row>
    <row r="39" spans="1:16" ht="12.75">
      <c r="A39" s="94"/>
      <c r="B39" s="137" t="s">
        <v>179</v>
      </c>
      <c r="C39" s="31"/>
      <c r="D39" s="31"/>
      <c r="E39" s="23">
        <v>20</v>
      </c>
      <c r="F39" s="188"/>
      <c r="G39" s="95">
        <f aca="true" t="shared" si="6" ref="G39:L39">SUM(G28:G38)</f>
        <v>0</v>
      </c>
      <c r="H39" s="6">
        <f t="shared" si="6"/>
        <v>0</v>
      </c>
      <c r="I39" s="6">
        <f t="shared" si="6"/>
        <v>0</v>
      </c>
      <c r="J39" s="6">
        <f t="shared" si="6"/>
        <v>0</v>
      </c>
      <c r="K39" s="6">
        <f t="shared" si="6"/>
        <v>0</v>
      </c>
      <c r="L39" s="6">
        <f t="shared" si="6"/>
        <v>0</v>
      </c>
      <c r="M39" s="164"/>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c r="G42" s="185"/>
      <c r="H42" s="106"/>
      <c r="I42" s="106"/>
      <c r="J42" s="106"/>
      <c r="K42" s="106"/>
      <c r="L42" s="168"/>
      <c r="M42" s="106"/>
      <c r="N42" s="108">
        <f>SUM(H40:L42)</f>
        <v>0</v>
      </c>
      <c r="O42" s="183" t="str">
        <f>IF(M42=0," ",(N42-M42)/M42)</f>
        <v> </v>
      </c>
      <c r="P42" s="2">
        <v>21</v>
      </c>
    </row>
    <row r="43" spans="1:16" ht="12.75">
      <c r="A43" s="139" t="s">
        <v>180</v>
      </c>
      <c r="B43" s="96"/>
      <c r="C43" s="96"/>
      <c r="D43" s="96"/>
      <c r="E43" s="22">
        <v>22</v>
      </c>
      <c r="F43" s="89"/>
      <c r="G43" s="95">
        <f aca="true" t="shared" si="7" ref="G43:L43">SUM(G39:G42)</f>
        <v>0</v>
      </c>
      <c r="H43" s="20">
        <f t="shared" si="7"/>
        <v>0</v>
      </c>
      <c r="I43" s="20">
        <f t="shared" si="7"/>
        <v>0</v>
      </c>
      <c r="J43" s="20">
        <f t="shared" si="7"/>
        <v>0</v>
      </c>
      <c r="K43" s="20">
        <f t="shared" si="7"/>
        <v>0</v>
      </c>
      <c r="L43" s="20">
        <f t="shared" si="7"/>
        <v>0</v>
      </c>
      <c r="M43" s="6"/>
      <c r="N43" s="6">
        <f>SUM(N39:N42)</f>
        <v>0</v>
      </c>
      <c r="O43" s="191" t="str">
        <f>IF(M43=0," ",(N43-M43)/M43)</f>
        <v> </v>
      </c>
      <c r="P43" s="91">
        <v>22</v>
      </c>
    </row>
  </sheetData>
  <sheetProtection/>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28">
      <selection activeCell="K12" sqref="K12"/>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078286000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AIBT Non-Profit Charter High School, Inc. (d.b.a. RCB College Preparatory Academy) for fiscal year 2018 was officially proposed by the Governing Board on June 27, 2017. The complete budget may be reviewed by contacting Steve Durand at 623-204-4700 or Steve@durandtech.com.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0</v>
      </c>
      <c r="E6" s="201">
        <f>SP1000P100F1000</f>
        <v>95484</v>
      </c>
      <c r="F6" s="221" t="str">
        <f>IF(D6=0," ",(E6-D6)/D6)</f>
        <v> </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0</v>
      </c>
      <c r="E8" s="238">
        <f>SP1000P100F2100</f>
        <v>5489</v>
      </c>
      <c r="F8" s="222" t="str">
        <f>IF(D8=0," ",(E8-D8)/D8)</f>
        <v> </v>
      </c>
      <c r="H8" s="214"/>
      <c r="I8" s="214"/>
      <c r="J8" s="214"/>
      <c r="K8" s="214"/>
    </row>
    <row r="9" spans="1:13" ht="12" customHeight="1">
      <c r="A9" s="218"/>
      <c r="C9" s="196" t="s">
        <v>196</v>
      </c>
      <c r="D9" s="200">
        <f>SP1000P100F2200CY</f>
        <v>0</v>
      </c>
      <c r="E9" s="200">
        <f>SP1000P100F2200</f>
        <v>1500</v>
      </c>
      <c r="F9" s="225" t="str">
        <f>IF(D9=0," ",(E9-D9)/D9)</f>
        <v> </v>
      </c>
      <c r="H9" s="227"/>
      <c r="I9" s="217"/>
      <c r="J9" s="228"/>
      <c r="K9" s="383" t="s">
        <v>62</v>
      </c>
      <c r="L9" s="384"/>
      <c r="M9" s="210" t="s">
        <v>64</v>
      </c>
    </row>
    <row r="10" spans="1:13" ht="12" customHeight="1">
      <c r="A10" s="218"/>
      <c r="C10" s="196" t="s">
        <v>197</v>
      </c>
      <c r="D10" s="200">
        <f>SP1000P100F2300CY</f>
        <v>0</v>
      </c>
      <c r="E10" s="200">
        <f>SP1000P100F2300</f>
        <v>0</v>
      </c>
      <c r="F10" s="221" t="str">
        <f aca="true" t="shared" si="0" ref="F10:F21">IF(D10=0," ",(E10-D10)/D10)</f>
        <v> </v>
      </c>
      <c r="H10" s="229" t="s">
        <v>209</v>
      </c>
      <c r="I10" s="233"/>
      <c r="J10" s="234"/>
      <c r="K10" s="210" t="s">
        <v>251</v>
      </c>
      <c r="L10" s="210" t="s">
        <v>56</v>
      </c>
      <c r="M10" s="219" t="s">
        <v>65</v>
      </c>
    </row>
    <row r="11" spans="1:13" ht="12" customHeight="1">
      <c r="A11" s="218"/>
      <c r="C11" s="196" t="s">
        <v>198</v>
      </c>
      <c r="D11" s="200">
        <f>SP1000P100F2400CY</f>
        <v>0</v>
      </c>
      <c r="E11" s="200">
        <f>SP1000P100F2400</f>
        <v>40478</v>
      </c>
      <c r="F11" s="221" t="str">
        <f t="shared" si="0"/>
        <v> </v>
      </c>
      <c r="H11" s="230"/>
      <c r="I11" s="235"/>
      <c r="J11" s="204"/>
      <c r="K11" s="199">
        <v>2017</v>
      </c>
      <c r="L11" s="199">
        <v>2018</v>
      </c>
      <c r="M11" s="220" t="s">
        <v>66</v>
      </c>
    </row>
    <row r="12" spans="1:13" ht="12" customHeight="1">
      <c r="A12" s="218"/>
      <c r="C12" s="196" t="s">
        <v>199</v>
      </c>
      <c r="D12" s="200">
        <f>SP1000P100F2500CY</f>
        <v>0</v>
      </c>
      <c r="E12" s="200">
        <f>SP1000P100F2500</f>
        <v>48500</v>
      </c>
      <c r="F12" s="221" t="str">
        <f t="shared" si="0"/>
        <v> </v>
      </c>
      <c r="H12" s="231" t="s">
        <v>271</v>
      </c>
      <c r="I12" s="197"/>
      <c r="J12" s="234"/>
      <c r="K12" s="201">
        <f>'Page 2'!M5</f>
        <v>0</v>
      </c>
      <c r="L12" s="201">
        <f>'Page 2'!N5</f>
        <v>12454</v>
      </c>
      <c r="M12" s="221" t="str">
        <f aca="true" t="shared" si="1" ref="M12:M19">IF(K12=0," ",(L12-K12)/K12)</f>
        <v> </v>
      </c>
    </row>
    <row r="13" spans="1:13" ht="12" customHeight="1">
      <c r="A13" s="218"/>
      <c r="C13" s="196" t="s">
        <v>200</v>
      </c>
      <c r="D13" s="200">
        <f>SP1000P100F2600CY</f>
        <v>0</v>
      </c>
      <c r="E13" s="200">
        <f>SP1000P100F2600</f>
        <v>50200</v>
      </c>
      <c r="F13" s="221" t="str">
        <f t="shared" si="0"/>
        <v> </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500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0</v>
      </c>
      <c r="L19" s="200">
        <f>SUM(L12:L18)</f>
        <v>12454</v>
      </c>
      <c r="M19" s="224" t="str">
        <f t="shared" si="1"/>
        <v> </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0</v>
      </c>
      <c r="E21" s="200">
        <f>SUM(E6:E20)</f>
        <v>242151</v>
      </c>
      <c r="F21" s="221" t="str">
        <f t="shared" si="0"/>
        <v> </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0</v>
      </c>
      <c r="E23" s="241">
        <f>SP1000P200F1000</f>
        <v>5250</v>
      </c>
      <c r="F23" s="222" t="str">
        <f>IF(D23=0," ",(E23-D23)/D23)</f>
        <v> </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0</v>
      </c>
      <c r="E25" s="201">
        <f>SP1000P200F2100</f>
        <v>6704</v>
      </c>
      <c r="F25" s="222" t="str">
        <f aca="true" t="shared" si="2" ref="F25:F41">IF(D25=0," ",(E25-D25)/D25)</f>
        <v> </v>
      </c>
      <c r="H25" s="218"/>
      <c r="J25" s="211" t="s">
        <v>251</v>
      </c>
      <c r="K25" s="211" t="s">
        <v>56</v>
      </c>
      <c r="L25" s="219" t="s">
        <v>65</v>
      </c>
      <c r="M25" s="281"/>
    </row>
    <row r="26" spans="1:13" ht="12" customHeight="1">
      <c r="A26" s="218"/>
      <c r="C26" s="196" t="s">
        <v>196</v>
      </c>
      <c r="D26" s="201">
        <f>SP1000P200F2200CY</f>
        <v>0</v>
      </c>
      <c r="E26" s="201">
        <f>SP1000P200F2200</f>
        <v>500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0</v>
      </c>
      <c r="K27" s="201">
        <f>SP1000Total</f>
        <v>255605</v>
      </c>
      <c r="L27" s="224" t="str">
        <f>IF(J27=0," ",(K27-J27)/J27)</f>
        <v> </v>
      </c>
      <c r="M27" s="281"/>
    </row>
    <row r="28" spans="1:13" ht="12" customHeight="1">
      <c r="A28" s="218"/>
      <c r="C28" s="196" t="s">
        <v>198</v>
      </c>
      <c r="D28" s="201">
        <f>SP1000P200F2400CY</f>
        <v>0</v>
      </c>
      <c r="E28" s="201">
        <f>SP1000P200F2400</f>
        <v>0</v>
      </c>
      <c r="F28" s="221" t="str">
        <f t="shared" si="2"/>
        <v> </v>
      </c>
      <c r="H28" s="226" t="s">
        <v>207</v>
      </c>
      <c r="I28" s="207"/>
      <c r="J28" s="200">
        <f>SP1000ClassSiteProjCY</f>
        <v>0</v>
      </c>
      <c r="K28" s="200">
        <f>SP1000ClassSiteProj</f>
        <v>20021</v>
      </c>
      <c r="L28" s="224" t="str">
        <f aca="true" t="shared" si="3" ref="L28:L35">IF(J28=0," ",(K28-J28)/J28)</f>
        <v> </v>
      </c>
      <c r="M28" s="281"/>
    </row>
    <row r="29" spans="1:13" ht="12" customHeight="1">
      <c r="A29" s="218"/>
      <c r="C29" s="196" t="s">
        <v>199</v>
      </c>
      <c r="D29" s="201">
        <f>SP1000P200F2500CY</f>
        <v>0</v>
      </c>
      <c r="E29" s="201">
        <f>SP1000P200F2500</f>
        <v>0</v>
      </c>
      <c r="F29" s="221" t="str">
        <f t="shared" si="2"/>
        <v> </v>
      </c>
      <c r="H29" s="226" t="s">
        <v>217</v>
      </c>
      <c r="I29" s="207"/>
      <c r="J29" s="200">
        <f>SP1000InstrImpProjCY</f>
        <v>0</v>
      </c>
      <c r="K29" s="200">
        <f>SP1000InstrImpProj</f>
        <v>2190</v>
      </c>
      <c r="L29" s="224" t="str">
        <f t="shared" si="3"/>
        <v> </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0</v>
      </c>
      <c r="K32" s="200">
        <f>TotalFederalProjects</f>
        <v>5000</v>
      </c>
      <c r="L32" s="224" t="str">
        <f t="shared" si="3"/>
        <v> </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0</v>
      </c>
      <c r="E35" s="213">
        <f>SUM(E23:E34)</f>
        <v>12454</v>
      </c>
      <c r="F35" s="221" t="str">
        <f t="shared" si="2"/>
        <v> </v>
      </c>
      <c r="H35" s="226" t="s">
        <v>208</v>
      </c>
      <c r="I35" s="207"/>
      <c r="J35" s="200">
        <f>SUM(J27:J34)</f>
        <v>0</v>
      </c>
      <c r="K35" s="200">
        <f>SUM(K27:K34)</f>
        <v>282816</v>
      </c>
      <c r="L35" s="224" t="str">
        <f t="shared" si="3"/>
        <v> </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1000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0</v>
      </c>
      <c r="E41" s="201">
        <f>SUM(E35:E40)+E21</f>
        <v>255605</v>
      </c>
      <c r="F41" s="224" t="str">
        <f t="shared" si="2"/>
        <v> </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326</v>
      </c>
      <c r="C6" s="283" t="s">
        <v>333</v>
      </c>
    </row>
    <row r="7" spans="1:3" ht="59.25" customHeight="1">
      <c r="A7" s="263">
        <v>1</v>
      </c>
      <c r="B7" s="251" t="s">
        <v>226</v>
      </c>
      <c r="C7" s="283" t="s">
        <v>295</v>
      </c>
    </row>
    <row r="8" spans="1:3" ht="66" customHeight="1">
      <c r="A8" s="263">
        <v>1</v>
      </c>
      <c r="B8" s="251" t="s">
        <v>275</v>
      </c>
      <c r="C8" s="283" t="s">
        <v>276</v>
      </c>
    </row>
    <row r="9" spans="1:3" ht="60.75" customHeight="1">
      <c r="A9" s="263">
        <v>1</v>
      </c>
      <c r="B9" s="251" t="s">
        <v>240</v>
      </c>
      <c r="C9" s="283" t="s">
        <v>297</v>
      </c>
    </row>
    <row r="10" spans="1:3" ht="49.5" customHeight="1">
      <c r="A10" s="263">
        <v>1</v>
      </c>
      <c r="B10" s="251" t="s">
        <v>277</v>
      </c>
      <c r="C10" s="283" t="s">
        <v>278</v>
      </c>
    </row>
    <row r="11" spans="1:3" ht="62.25" customHeight="1">
      <c r="A11" s="263">
        <v>1</v>
      </c>
      <c r="B11" s="251" t="s">
        <v>239</v>
      </c>
      <c r="C11" s="283" t="s">
        <v>339</v>
      </c>
    </row>
    <row r="12" spans="1:3" ht="91.5" customHeight="1">
      <c r="A12" s="263">
        <v>2</v>
      </c>
      <c r="B12" s="251" t="s">
        <v>247</v>
      </c>
      <c r="C12" s="283" t="s">
        <v>298</v>
      </c>
    </row>
    <row r="13" spans="1:3" ht="76.5" customHeight="1">
      <c r="A13" s="263">
        <v>2</v>
      </c>
      <c r="B13" s="251" t="s">
        <v>301</v>
      </c>
      <c r="C13" s="283" t="s">
        <v>308</v>
      </c>
    </row>
    <row r="14" spans="1:3" ht="135" customHeight="1">
      <c r="A14" s="263">
        <v>2</v>
      </c>
      <c r="B14" s="251" t="s">
        <v>302</v>
      </c>
      <c r="C14" s="283" t="s">
        <v>317</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312</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318</v>
      </c>
      <c r="C23" s="283" t="s">
        <v>328</v>
      </c>
    </row>
    <row r="24" spans="1:3" ht="85.5" customHeight="1">
      <c r="A24" s="263">
        <v>2</v>
      </c>
      <c r="B24" s="251" t="s">
        <v>319</v>
      </c>
      <c r="C24" s="283" t="s">
        <v>335</v>
      </c>
    </row>
    <row r="25" spans="1:3" ht="45" customHeight="1">
      <c r="A25" s="263">
        <v>2</v>
      </c>
      <c r="B25" s="251" t="s">
        <v>320</v>
      </c>
      <c r="C25" s="283" t="s">
        <v>334</v>
      </c>
    </row>
    <row r="26" spans="1:3" ht="90.75" customHeight="1">
      <c r="A26" s="263">
        <v>2</v>
      </c>
      <c r="B26" s="251" t="s">
        <v>321</v>
      </c>
      <c r="C26" s="283" t="s">
        <v>336</v>
      </c>
    </row>
    <row r="27" spans="1:3" ht="99" customHeight="1">
      <c r="A27" s="263">
        <v>2</v>
      </c>
      <c r="B27" s="251" t="s">
        <v>322</v>
      </c>
      <c r="C27" s="283" t="s">
        <v>337</v>
      </c>
    </row>
    <row r="28" spans="1:3" ht="111" customHeight="1">
      <c r="A28" s="263">
        <v>2</v>
      </c>
      <c r="B28" s="251" t="s">
        <v>323</v>
      </c>
      <c r="C28" s="283" t="s">
        <v>338</v>
      </c>
    </row>
    <row r="29" spans="1:3" ht="49.5" customHeight="1">
      <c r="A29" s="263">
        <v>2</v>
      </c>
      <c r="B29" s="251" t="s">
        <v>324</v>
      </c>
      <c r="C29" s="283" t="s">
        <v>303</v>
      </c>
    </row>
    <row r="30" spans="1:3" ht="49.5" customHeight="1">
      <c r="A30" s="263">
        <v>2</v>
      </c>
      <c r="B30" s="251" t="s">
        <v>325</v>
      </c>
      <c r="C30" s="283" t="s">
        <v>309</v>
      </c>
    </row>
    <row r="31" spans="1:3" ht="65.25" customHeight="1">
      <c r="A31" s="263">
        <v>3</v>
      </c>
      <c r="B31" s="251" t="s">
        <v>235</v>
      </c>
      <c r="C31" s="283" t="s">
        <v>311</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2017-06-26T22:01:23Z</cp:lastPrinted>
  <dcterms:created xsi:type="dcterms:W3CDTF">1997-10-08T16:25:08Z</dcterms:created>
  <dcterms:modified xsi:type="dcterms:W3CDTF">2017-08-03T21:14:11Z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