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60"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<sst xmlns="http://schemas.openxmlformats.org/spreadsheetml/2006/main" count="551" uniqueCount="348">
  <si>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</si>
  <si>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</si>
  <si>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</si>
  <si>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</si>
  <si>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</si>
  <si>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</si>
  <si>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</si>
  <si>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</si>
  <si>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</si>
  <si>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</si>
  <si>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</si>
  <si>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</si>
  <si>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</si>
  <si>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</si>
  <si>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</si>
  <si>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</si>
  <si>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</si>
  <si>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</si>
  <si>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</si>
  <si>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</si>
  <si>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</si>
  <si>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</si>
  <si>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</si>
  <si>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</si>
  <si>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</si>
  <si>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</si>
  <si>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</si>
  <si>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</si>
  <si>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</si>
  <si>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</si>
  <si>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</si>
  <si>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</si>
  <si>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</si>
  <si>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</si>
  <si>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</si>
  <si>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</si>
  <si>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</si>
  <si>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</si>
  <si>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</si>
  <si>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</si>
  <si>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</si>
  <si>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</si>
  <si>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</si>
  <si>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</si>
  <si>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</si>
  <si>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</si>
  <si>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</si>
  <si>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</si>
  <si>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</si>
  <si>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</si>
  <si>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</si>
  <si>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</si>
  <si>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</si>
  <si>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</si>
  <si>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</si>
  <si>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</si>
  <si>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</si>
  <si>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</si>
  <si>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</si>
  <si>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</si>
  <si>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</si>
  <si>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</si>
  <si>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</si>
  <si>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</si>
  <si>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</si>
  <si>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</si>
  <si>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</si>
  <si>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</si>
  <si>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</si>
  <si>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</si>
  <si>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</si>
  <si>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</si>
  <si>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</si>
  <si>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</si>
  <si>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</si>
  <si>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</si>
  <si>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</si>
  <si>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</si>
  <si>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</si>
  <si>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</si>
  <si>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</si>
  <si>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</si>
  <si>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</si>
  <si>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</si>
  <si>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</si>
  <si>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</si>
  <si>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</si>
  <si>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</si>
  <si>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</si>
  <si>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</si>
  <si>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</si>
  <si>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</si>
  <si>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</si>
  <si>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</si>
  <si>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</si>
  <si>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</si>
  <si>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</si>
  <si>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</si>
  <si>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</si>
  <si>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</si>
  <si>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</si>
  <si>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</si>
  <si>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</si>
  <si>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</si>
  <si>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</si>
  <si>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</si>
  <si>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</si>
  <si>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</si>
  <si>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</si>
  <si>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</si>
  <si>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</si>
  <si>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</si>
  <si>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</si>
  <si>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</si>
  <si>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</si>
  <si>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</si>
  <si>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</si>
  <si>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</si>
  <si>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</si>
  <si>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</si>
  <si>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</si>
  <si>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</si>
  <si>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</si>
  <si>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</si>
  <si>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</si>
  <si>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</si>
  <si>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</si>
  <si>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</si>
  <si>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</si>
  <si>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</si>
  <si>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</si>
  <si>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</si>
  <si>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</si>
  <si>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</si>
  <si>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</si>
  <si>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</si>
  <si>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</si>
  <si>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</si>
  <si>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</si>
  <si>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</si>
  <si>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</si>
  <si>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</si>
  <si>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</si>
  <si>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</si>
  <si>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</si>
  <si>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</si>
  <si>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</si>
  <si>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</si>
  <si>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</si>
  <si>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</si>
  <si>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</si>
  <si>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</si>
  <si>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</si>
  <si>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</si>
  <si>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</si>
  <si>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</si>
  <si>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</si>
  <si>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</si>
  <si>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</si>
  <si>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</si>
  <si>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</si>
  <si>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</si>
  <si>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</si>
  <si>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</si>
  <si>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</si>
  <si>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</si>
  <si>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</si>
  <si>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</si>
  <si>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</si>
  <si>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</si>
  <si>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</si>
  <si>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</si>
  <si>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</si>
  <si>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</si>
  <si>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</si>
  <si>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</si>
  <si>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</si>
  <si>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</si>
  <si>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</si>
  <si>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</si>
  <si>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</si>
  <si>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</si>
  <si>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</si>
  <si>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</si>
  <si>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</si>
  <si>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</si>
  <si>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</si>
  <si>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</si>
  <si>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</si>
  <si>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</si>
  <si>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</si>
  <si>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</si>
  <si>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</si>
  <si>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</si>
  <si>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</si>
  <si>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</si>
  <si>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</si>
  <si>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</si>
  <si>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</si>
  <si>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</si>
  <si>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</si>
  <si>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</si>
  <si>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</si>
  <si>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</si>
  <si>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</si>
  <si>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</si>
  <si>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</si>
  <si>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</si>
  <si>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</si>
  <si>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</si>
  <si>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</si>
  <si>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</si>
  <si>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</si>
  <si>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</si>
  <si>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</si>
  <si>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</si>
  <si>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</si>
  <si>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</si>
  <si>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</si>
  <si>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</si>
  <si>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</si>
  <si>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</si>
  <si>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</si>
  <si>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</si>
  <si>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</si>
  <si>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</si>
  <si>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</si>
  <si>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</si>
  <si>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</si>
  <si>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</si>
  <si>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</si>
  <si>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</si>
  <si>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</si>
  <si>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</si>
  <si>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</si>
  <si>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</si>
  <si>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</si>
  <si>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</si>
  <si>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</si>
  <si>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</si>
  <si>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</si>
  <si>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</si>
  <si>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</si>
  <si>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</si>
  <si>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</si>
  <si>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</si>
  <si>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</si>
  <si>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</si>
  <si>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</si>
  <si>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</si>
  <si>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</si>
  <si>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</si>
  <si>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</si>
  <si>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</si>
  <si>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</si>
  <si>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</si>
  <si>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</si>
  <si>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</si>
  <si>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</si>
  <si>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</si>
  <si>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</si>
  <si>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</si>
  <si>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</si>
  <si>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</si>
  <si>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</si>
  <si>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</si>
  <si>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</si>
  <si>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</si>
  <si>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</si>
  <si>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</si>
  <si>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</si>
  <si>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</si>
  <si>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</si>
  <si>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</si>
  <si>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</si>
  <si>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</si>
  <si>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</si>
  <si>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</si>
  <si>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</si>
  <si>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</si>
  <si>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</si>
  <si>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</si>
  <si>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</si>
  <si>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</si>
  <si>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</si>
  <si>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</si>
  <si>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</si>
  <si>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</si>
  <si>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</si>
  <si>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</si>
  <si>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</si>
  <si>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</si>
  <si>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</si>
  <si>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</si>
  <si>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</si>
  <si>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</si>
  <si>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</si>
  <si>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</si>
  <si>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</si>
  <si>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</si>
  <si>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</si>
  <si>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</si>
  <si>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</si>
  <si>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</si>
  <si>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</si>
  <si>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</si>
  <si>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</si>
  <si>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</si>
  <si>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</si>
  <si>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</si>
  <si>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</si>
  <si>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</si>
  <si>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</si>
  <si>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</si>
  <si>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</si>
  <si>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</si>
  <si>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</si>
  <si>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</si>
  <si>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</si>
  <si>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</si>
  <si>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</si>
  <si>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</si>
  <si>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</si>
  <si>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</si>
  <si>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</si>
  <si>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</si>
  <si>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</si>
  <si>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</si>
  <si>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</si>
  <si>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</si>
  <si>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</si>
  <si>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</si>
  <si>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</si>
  <si>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</si>
  <si>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</si>
  <si>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</si>
  <si>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</si>
  <si>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</si>
  <si>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</si>
  <si>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</si>
  <si>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Akshai Patel</t>
  </si>
  <si>
    <t>078277000</t>
  </si>
  <si>
    <t>602-842-1722</t>
  </si>
  <si>
    <t>Apatel@phxca.org</t>
  </si>
  <si>
    <t>Phoenix Collegiate Academy High, LLC</t>
  </si>
  <si>
    <t>Phoenix Collegiate Academy High</t>
  </si>
  <si>
    <t>Maricopa</t>
  </si>
  <si>
    <t>Andrew Minck</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</si>
</sst>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2">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color indexed="8"/>
      </top>
      <bottom style="thin"/>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5" fillId="0" borderId="0" xfId="0" applyFont="1" applyFill="1" applyBorder="1" applyAlignment="1">
      <alignment/>
    </xf>
    <xf numFmtId="0" fontId="55" fillId="0" borderId="0" xfId="0" applyFont="1" applyFill="1" applyBorder="1" applyAlignment="1">
      <alignment horizontal="left"/>
    </xf>
    <xf numFmtId="0" fontId="55" fillId="0" borderId="12" xfId="0" applyFont="1" applyFill="1" applyBorder="1" applyAlignment="1">
      <alignment/>
    </xf>
    <xf numFmtId="0" fontId="55" fillId="0" borderId="13" xfId="0" applyFont="1" applyFill="1" applyBorder="1" applyAlignment="1">
      <alignment horizontal="center"/>
    </xf>
    <xf numFmtId="38" fontId="55" fillId="0" borderId="14" xfId="0" applyNumberFormat="1" applyFont="1" applyFill="1" applyBorder="1" applyAlignment="1" applyProtection="1">
      <alignment/>
      <protection/>
    </xf>
    <xf numFmtId="38" fontId="55" fillId="0" borderId="13" xfId="0" applyNumberFormat="1" applyFont="1" applyFill="1" applyBorder="1" applyAlignment="1" applyProtection="1">
      <alignment/>
      <protection/>
    </xf>
    <xf numFmtId="0" fontId="55" fillId="0" borderId="21" xfId="0" applyFont="1" applyFill="1" applyBorder="1" applyAlignment="1" applyProtection="1">
      <alignment/>
      <protection/>
    </xf>
    <xf numFmtId="38" fontId="55" fillId="0" borderId="13" xfId="0" applyNumberFormat="1" applyFont="1" applyFill="1" applyBorder="1" applyAlignment="1" applyProtection="1">
      <alignment/>
      <protection/>
    </xf>
    <xf numFmtId="0" fontId="55" fillId="0" borderId="17" xfId="0" applyFont="1" applyFill="1" applyBorder="1" applyAlignment="1">
      <alignment/>
    </xf>
    <xf numFmtId="38" fontId="55" fillId="0" borderId="23" xfId="0" applyNumberFormat="1" applyFont="1" applyFill="1" applyBorder="1" applyAlignment="1" applyProtection="1">
      <alignment/>
      <protection/>
    </xf>
    <xf numFmtId="0" fontId="55" fillId="0" borderId="21" xfId="0" applyFont="1" applyFill="1" applyBorder="1" applyAlignment="1" applyProtection="1">
      <alignment/>
      <protection/>
    </xf>
    <xf numFmtId="0" fontId="55" fillId="0" borderId="24" xfId="0" applyFont="1" applyFill="1" applyBorder="1" applyAlignment="1">
      <alignment/>
    </xf>
    <xf numFmtId="0" fontId="55" fillId="0" borderId="16" xfId="0" applyFont="1" applyFill="1" applyBorder="1" applyAlignment="1">
      <alignment/>
    </xf>
    <xf numFmtId="0" fontId="55" fillId="0" borderId="0" xfId="0" applyFont="1" applyFill="1" applyBorder="1" applyAlignment="1">
      <alignment horizontal="right"/>
    </xf>
    <xf numFmtId="0" fontId="55" fillId="0" borderId="21" xfId="0" applyFont="1" applyFill="1" applyBorder="1" applyAlignment="1">
      <alignment horizontal="center"/>
    </xf>
    <xf numFmtId="0" fontId="55" fillId="0" borderId="23" xfId="0" applyFont="1" applyFill="1" applyBorder="1" applyAlignment="1">
      <alignment horizontal="center"/>
    </xf>
    <xf numFmtId="0" fontId="55" fillId="0" borderId="0" xfId="0" applyFont="1" applyFill="1" applyBorder="1" applyAlignment="1" applyProtection="1">
      <alignment/>
      <protection/>
    </xf>
    <xf numFmtId="38" fontId="55" fillId="0" borderId="21" xfId="0" applyNumberFormat="1" applyFont="1" applyFill="1" applyBorder="1" applyAlignment="1" applyProtection="1">
      <alignment/>
      <protection/>
    </xf>
    <xf numFmtId="0" fontId="55" fillId="0" borderId="0" xfId="0" applyFont="1" applyFill="1" applyBorder="1" applyAlignment="1" applyProtection="1">
      <alignment vertical="center" wrapText="1"/>
      <protection/>
    </xf>
    <xf numFmtId="0" fontId="56" fillId="0" borderId="0" xfId="0" applyFont="1" applyFill="1" applyBorder="1" applyAlignment="1">
      <alignment/>
    </xf>
    <xf numFmtId="0" fontId="56" fillId="0" borderId="10" xfId="0" applyFont="1" applyFill="1" applyBorder="1" applyAlignment="1">
      <alignment/>
    </xf>
    <xf numFmtId="0" fontId="55" fillId="0" borderId="20" xfId="0" applyFont="1" applyFill="1" applyBorder="1" applyAlignment="1">
      <alignment/>
    </xf>
    <xf numFmtId="0" fontId="55" fillId="0" borderId="11" xfId="0" applyFont="1" applyFill="1" applyBorder="1" applyAlignment="1">
      <alignment/>
    </xf>
    <xf numFmtId="0" fontId="55" fillId="0" borderId="15" xfId="0" applyFont="1" applyFill="1" applyBorder="1" applyAlignment="1">
      <alignment horizontal="center"/>
    </xf>
    <xf numFmtId="0" fontId="55"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5"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5" fillId="0" borderId="19" xfId="0" applyFont="1" applyFill="1" applyBorder="1" applyAlignment="1">
      <alignment/>
    </xf>
    <xf numFmtId="0" fontId="55" fillId="0" borderId="10" xfId="0" applyFont="1" applyFill="1" applyBorder="1" applyAlignment="1">
      <alignment/>
    </xf>
    <xf numFmtId="0" fontId="55" fillId="0" borderId="18" xfId="0" applyFont="1" applyFill="1" applyBorder="1" applyAlignment="1">
      <alignment/>
    </xf>
    <xf numFmtId="0" fontId="56" fillId="0" borderId="11" xfId="0" applyFont="1" applyFill="1" applyBorder="1" applyAlignment="1">
      <alignment horizontal="left"/>
    </xf>
    <xf numFmtId="0" fontId="56" fillId="0" borderId="22" xfId="0" applyFont="1" applyFill="1" applyBorder="1" applyAlignment="1">
      <alignment horizontal="left"/>
    </xf>
    <xf numFmtId="0" fontId="55" fillId="0" borderId="11" xfId="0" applyFont="1" applyFill="1" applyBorder="1" applyAlignment="1">
      <alignment horizontal="left"/>
    </xf>
    <xf numFmtId="0" fontId="56" fillId="0" borderId="11" xfId="0" applyFont="1" applyFill="1" applyBorder="1" applyAlignment="1">
      <alignment/>
    </xf>
    <xf numFmtId="0" fontId="56" fillId="0" borderId="0" xfId="0" applyFont="1" applyFill="1" applyBorder="1" applyAlignment="1">
      <alignment horizontal="left"/>
    </xf>
    <xf numFmtId="0" fontId="55" fillId="0" borderId="15" xfId="0" applyFont="1" applyFill="1" applyBorder="1" applyAlignment="1">
      <alignment/>
    </xf>
    <xf numFmtId="0" fontId="56"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5" fillId="0" borderId="22" xfId="0" applyNumberFormat="1" applyFont="1" applyFill="1" applyBorder="1" applyAlignment="1" applyProtection="1">
      <alignment/>
      <protection/>
    </xf>
    <xf numFmtId="0" fontId="55" fillId="0" borderId="10" xfId="0" applyFont="1" applyFill="1" applyBorder="1" applyAlignment="1" applyProtection="1">
      <alignment/>
      <protection/>
    </xf>
    <xf numFmtId="0" fontId="55" fillId="0" borderId="21" xfId="0" applyFont="1" applyFill="1" applyBorder="1" applyAlignment="1">
      <alignment/>
    </xf>
    <xf numFmtId="38" fontId="55"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7" fillId="0" borderId="0" xfId="53" applyFont="1" applyFill="1" applyAlignment="1" applyProtection="1">
      <alignment horizontal="centerContinuous"/>
      <protection/>
    </xf>
    <xf numFmtId="0" fontId="0" fillId="0" borderId="11" xfId="0" applyFill="1" applyBorder="1" applyAlignment="1" applyProtection="1">
      <alignment/>
      <protection/>
    </xf>
    <xf numFmtId="0" fontId="58"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9" fillId="0" borderId="0" xfId="0" applyFont="1" applyFill="1" applyAlignment="1" applyProtection="1">
      <alignment/>
      <protection/>
    </xf>
    <xf numFmtId="0" fontId="59" fillId="0" borderId="0" xfId="0" applyFont="1" applyFill="1" applyBorder="1" applyAlignment="1" applyProtection="1">
      <alignment/>
      <protection/>
    </xf>
    <xf numFmtId="0" fontId="59"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7" fillId="34" borderId="20" xfId="53" applyFont="1" applyFill="1" applyBorder="1" applyAlignment="1" applyProtection="1">
      <alignment/>
      <protection/>
    </xf>
    <xf numFmtId="0" fontId="57" fillId="34" borderId="0" xfId="53" applyFont="1" applyFill="1" applyBorder="1" applyAlignment="1" applyProtection="1">
      <alignment/>
      <protection/>
    </xf>
    <xf numFmtId="0" fontId="58" fillId="34" borderId="0" xfId="53" applyFont="1" applyFill="1" applyAlignment="1" applyProtection="1">
      <alignment/>
      <protection/>
    </xf>
    <xf numFmtId="0" fontId="58" fillId="34" borderId="0" xfId="53" applyFont="1" applyFill="1" applyAlignment="1" applyProtection="1">
      <alignment horizontal="centerContinuous"/>
      <protection/>
    </xf>
    <xf numFmtId="0" fontId="57"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60" fillId="0" borderId="0" xfId="53" applyFont="1" applyFill="1" applyAlignment="1" applyProtection="1">
      <alignment horizontal="center" vertical="top"/>
      <protection/>
    </xf>
    <xf numFmtId="0" fontId="60" fillId="34" borderId="23" xfId="53" applyFont="1" applyFill="1" applyBorder="1" applyAlignment="1" applyProtection="1">
      <alignment horizontal="center"/>
      <protection/>
    </xf>
    <xf numFmtId="0" fontId="60" fillId="34" borderId="12" xfId="53" applyFont="1" applyFill="1" applyBorder="1" applyAlignment="1" applyProtection="1">
      <alignment/>
      <protection/>
    </xf>
    <xf numFmtId="0" fontId="61" fillId="34" borderId="0" xfId="53" applyFont="1" applyFill="1" applyAlignment="1" applyProtection="1">
      <alignment horizontal="centerContinuous"/>
      <protection/>
    </xf>
    <xf numFmtId="0" fontId="61" fillId="34" borderId="0" xfId="53" applyFont="1" applyFill="1" applyAlignment="1" applyProtection="1">
      <alignment horizontal="left" vertical="center"/>
      <protection/>
    </xf>
    <xf numFmtId="0" fontId="60" fillId="34" borderId="11" xfId="53" applyFont="1" applyFill="1" applyBorder="1" applyAlignment="1" applyProtection="1">
      <alignment/>
      <protection/>
    </xf>
    <xf numFmtId="0" fontId="60" fillId="34" borderId="10" xfId="53" applyFont="1" applyFill="1" applyBorder="1" applyAlignment="1" applyProtection="1">
      <alignment/>
      <protection/>
    </xf>
    <xf numFmtId="164" fontId="0" fillId="0" borderId="16" xfId="0" applyNumberFormat="1" applyBorder="1" applyAlignment="1">
      <alignment/>
    </xf>
    <xf numFmtId="0" fontId="60" fillId="34" borderId="0" xfId="53" applyFont="1" applyFill="1" applyAlignment="1" applyProtection="1">
      <alignment vertical="center"/>
      <protection/>
    </xf>
    <xf numFmtId="164" fontId="0" fillId="0" borderId="0" xfId="0" applyNumberFormat="1" applyAlignment="1">
      <alignment/>
    </xf>
    <xf numFmtId="0" fontId="61"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60"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5"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60"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60"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5" fillId="0" borderId="0" xfId="0" applyFont="1" applyFill="1" applyBorder="1" applyAlignment="1">
      <alignment horizontal="center"/>
    </xf>
    <xf numFmtId="0" fontId="56"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60"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8"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0" fontId="0" fillId="0" borderId="12" xfId="0" applyFill="1" applyBorder="1" applyAlignment="1" applyProtection="1">
      <alignment/>
      <protection locked="0"/>
    </xf>
    <xf numFmtId="0" fontId="0" fillId="0" borderId="0" xfId="0" applyFill="1" applyAlignment="1" applyProtection="1">
      <alignment horizontal="left"/>
      <protection/>
    </xf>
    <xf numFmtId="0" fontId="0" fillId="0" borderId="12" xfId="0" applyFill="1" applyBorder="1" applyAlignment="1" applyProtection="1">
      <alignment horizontal="center"/>
      <protection locked="0"/>
    </xf>
    <xf numFmtId="0" fontId="0" fillId="0" borderId="12" xfId="0" applyFill="1" applyBorder="1" applyAlignment="1" applyProtection="1">
      <alignment/>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left"/>
      <protection locked="0"/>
    </xf>
    <xf numFmtId="168" fontId="0" fillId="0" borderId="24" xfId="0" applyNumberFormat="1" applyFill="1" applyBorder="1" applyAlignment="1" applyProtection="1">
      <alignment horizontal="left"/>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ont="1" applyFill="1" applyBorder="1" applyAlignment="1" applyProtection="1">
      <alignment/>
      <protection locked="0"/>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lignment horizontal="left"/>
    </xf>
    <xf numFmtId="0" fontId="0" fillId="0" borderId="20" xfId="0" applyFont="1" applyFill="1" applyBorder="1" applyAlignment="1" applyProtection="1">
      <alignment horizontal="center"/>
      <protection/>
    </xf>
    <xf numFmtId="0" fontId="0" fillId="0" borderId="30" xfId="0" applyFont="1" applyFill="1" applyBorder="1" applyAlignment="1" applyProtection="1">
      <alignment/>
      <protection locked="0"/>
    </xf>
    <xf numFmtId="0" fontId="0" fillId="0" borderId="30" xfId="0" applyFill="1" applyBorder="1" applyAlignment="1" applyProtection="1">
      <alignment/>
      <protection locked="0"/>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31"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0" xfId="0" applyFont="1" applyFill="1" applyAlignment="1" applyProtection="1">
      <alignment/>
      <protection/>
    </xf>
    <xf numFmtId="0" fontId="0" fillId="0" borderId="0" xfId="0" applyFill="1" applyAlignment="1" applyProtection="1">
      <alignment/>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5" fillId="0" borderId="19" xfId="0" applyNumberFormat="1" applyFont="1" applyFill="1" applyBorder="1" applyAlignment="1" applyProtection="1">
      <alignment horizontal="center"/>
      <protection/>
    </xf>
    <xf numFmtId="38" fontId="55" fillId="0" borderId="16" xfId="0" applyNumberFormat="1" applyFont="1" applyFill="1" applyBorder="1" applyAlignment="1" applyProtection="1">
      <alignment horizontal="center"/>
      <protection/>
    </xf>
    <xf numFmtId="0" fontId="56" fillId="0" borderId="0" xfId="0" applyFont="1" applyFill="1" applyBorder="1" applyAlignment="1">
      <alignment horizontal="center"/>
    </xf>
    <xf numFmtId="0" fontId="55" fillId="0" borderId="10" xfId="0" applyFont="1" applyFill="1" applyBorder="1" applyAlignment="1" applyProtection="1">
      <alignment horizontal="center" vertical="center" wrapText="1"/>
      <protection/>
    </xf>
    <xf numFmtId="0" fontId="55" fillId="0" borderId="20" xfId="0" applyFont="1" applyFill="1" applyBorder="1" applyAlignment="1" applyProtection="1">
      <alignment horizontal="center" vertical="center" wrapText="1"/>
      <protection/>
    </xf>
    <xf numFmtId="0" fontId="55" fillId="0" borderId="18" xfId="0" applyFont="1" applyFill="1" applyBorder="1" applyAlignment="1" applyProtection="1">
      <alignment horizontal="center" vertical="center" wrapText="1"/>
      <protection/>
    </xf>
    <xf numFmtId="0" fontId="55" fillId="0" borderId="11"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55" fillId="0" borderId="15" xfId="0" applyFont="1" applyFill="1" applyBorder="1" applyAlignment="1" applyProtection="1">
      <alignment horizontal="center" vertical="center" wrapText="1"/>
      <protection/>
    </xf>
    <xf numFmtId="0" fontId="55" fillId="0" borderId="22" xfId="0" applyFont="1" applyFill="1" applyBorder="1" applyAlignment="1" applyProtection="1">
      <alignment horizontal="center" vertical="center" wrapText="1"/>
      <protection/>
    </xf>
    <xf numFmtId="0" fontId="55" fillId="0" borderId="12" xfId="0" applyFont="1" applyFill="1" applyBorder="1" applyAlignment="1" applyProtection="1">
      <alignment horizontal="center" vertical="center" wrapText="1"/>
      <protection/>
    </xf>
    <xf numFmtId="0" fontId="55" fillId="0" borderId="17" xfId="0" applyFont="1" applyFill="1" applyBorder="1" applyAlignment="1" applyProtection="1">
      <alignment horizontal="center" vertical="center" wrapText="1"/>
      <protection/>
    </xf>
    <xf numFmtId="0" fontId="55" fillId="0" borderId="10" xfId="0" applyFont="1" applyFill="1" applyBorder="1" applyAlignment="1">
      <alignment horizontal="center"/>
    </xf>
    <xf numFmtId="0" fontId="55" fillId="0" borderId="18" xfId="0" applyFont="1" applyFill="1" applyBorder="1" applyAlignment="1">
      <alignment horizontal="center"/>
    </xf>
    <xf numFmtId="0" fontId="55" fillId="0" borderId="19" xfId="0" applyFont="1" applyFill="1" applyBorder="1" applyAlignment="1">
      <alignment horizontal="center"/>
    </xf>
    <xf numFmtId="0" fontId="55" fillId="0" borderId="16" xfId="0" applyFont="1" applyFill="1" applyBorder="1" applyAlignment="1">
      <alignment horizontal="center"/>
    </xf>
    <xf numFmtId="0" fontId="55" fillId="0" borderId="22" xfId="0" applyFont="1" applyFill="1" applyBorder="1" applyAlignment="1">
      <alignment horizontal="left"/>
    </xf>
    <xf numFmtId="0" fontId="55" fillId="0" borderId="12" xfId="0" applyFont="1" applyFill="1" applyBorder="1" applyAlignment="1">
      <alignment horizontal="left"/>
    </xf>
    <xf numFmtId="0" fontId="56" fillId="0" borderId="19" xfId="0" applyFont="1" applyFill="1" applyBorder="1" applyAlignment="1">
      <alignment horizontal="center"/>
    </xf>
    <xf numFmtId="0" fontId="56" fillId="0" borderId="24" xfId="0" applyFont="1" applyFill="1" applyBorder="1" applyAlignment="1">
      <alignment horizontal="center"/>
    </xf>
    <xf numFmtId="0" fontId="56"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161925</xdr:colOff>
      <xdr:row>4</xdr:row>
      <xdr:rowOff>76200</xdr:rowOff>
    </xdr:to>
    <xdr:sp>
      <xdr:nvSpPr>
        <xdr:cNvPr id="1" name="Rectangle 4">
          <a:hlinkClick r:id="rId1"/>
        </xdr:cNvPr>
        <xdr:cNvSpPr>
          <a:spLocks/>
        </xdr:cNvSpPr>
      </xdr:nvSpPr>
      <xdr:spPr>
        <a:xfrm>
          <a:off x="2571750" y="285750"/>
          <a:ext cx="981075"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19050</xdr:rowOff>
    </xdr:to>
    <xdr:sp>
      <xdr:nvSpPr>
        <xdr:cNvPr id="1" name="Rectangle 5">
          <a:hlinkClick r:id="rId1"/>
        </xdr:cNvPr>
        <xdr:cNvSpPr>
          <a:spLocks/>
        </xdr:cNvSpPr>
      </xdr:nvSpPr>
      <xdr:spPr>
        <a:xfrm>
          <a:off x="2305050"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1725371</v>
          </cell>
        </row>
      </sheetData>
      <sheetData sheetId="1">
        <row r="8">
          <cell r="L8">
            <v>462144</v>
          </cell>
        </row>
        <row r="10">
          <cell r="L10">
            <v>97796</v>
          </cell>
        </row>
        <row r="11">
          <cell r="L11">
            <v>104976</v>
          </cell>
        </row>
        <row r="12">
          <cell r="L12">
            <v>3800</v>
          </cell>
        </row>
        <row r="13">
          <cell r="L13">
            <v>85000</v>
          </cell>
        </row>
        <row r="14">
          <cell r="L14">
            <v>443716</v>
          </cell>
        </row>
        <row r="15">
          <cell r="L15">
            <v>64512</v>
          </cell>
        </row>
        <row r="16">
          <cell r="L16">
            <v>0</v>
          </cell>
        </row>
        <row r="17">
          <cell r="L17">
            <v>66532</v>
          </cell>
        </row>
        <row r="18">
          <cell r="L18">
            <v>0</v>
          </cell>
        </row>
        <row r="19">
          <cell r="L19">
            <v>0</v>
          </cell>
        </row>
        <row r="20">
          <cell r="L20">
            <v>0</v>
          </cell>
        </row>
        <row r="21">
          <cell r="L21">
            <v>14004</v>
          </cell>
        </row>
        <row r="22">
          <cell r="L22">
            <v>0</v>
          </cell>
        </row>
        <row r="25">
          <cell r="L25">
            <v>336</v>
          </cell>
        </row>
        <row r="27">
          <cell r="L27">
            <v>38226</v>
          </cell>
        </row>
        <row r="28">
          <cell r="L28">
            <v>15000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4">
          <cell r="L44">
            <v>82280</v>
          </cell>
        </row>
        <row r="45">
          <cell r="L45">
            <v>9660</v>
          </cell>
        </row>
        <row r="46">
          <cell r="L46">
            <v>0</v>
          </cell>
        </row>
        <row r="47">
          <cell r="L47">
            <v>0</v>
          </cell>
        </row>
        <row r="48">
          <cell r="L48">
            <v>237389</v>
          </cell>
        </row>
      </sheetData>
      <sheetData sheetId="2">
        <row r="5">
          <cell r="E5">
            <v>81436</v>
          </cell>
          <cell r="N5">
            <v>53562</v>
          </cell>
        </row>
        <row r="6">
          <cell r="E6">
            <v>1150</v>
          </cell>
        </row>
        <row r="7">
          <cell r="E7">
            <v>112000</v>
          </cell>
        </row>
        <row r="9">
          <cell r="E9">
            <v>3549</v>
          </cell>
        </row>
        <row r="12">
          <cell r="E12">
            <v>39254</v>
          </cell>
        </row>
        <row r="23">
          <cell r="N23">
            <v>0</v>
          </cell>
        </row>
        <row r="24">
          <cell r="N24">
            <v>9660</v>
          </cell>
        </row>
      </sheetData>
      <sheetData sheetId="3">
        <row r="9">
          <cell r="K9">
            <v>16456</v>
          </cell>
        </row>
        <row r="10">
          <cell r="K10">
            <v>0</v>
          </cell>
        </row>
        <row r="11">
          <cell r="K11">
            <v>0</v>
          </cell>
        </row>
        <row r="14">
          <cell r="K14">
            <v>0</v>
          </cell>
        </row>
        <row r="15">
          <cell r="K15">
            <v>0</v>
          </cell>
        </row>
        <row r="16">
          <cell r="K16">
            <v>0</v>
          </cell>
        </row>
        <row r="19">
          <cell r="K19">
            <v>0</v>
          </cell>
        </row>
        <row r="20">
          <cell r="K20">
            <v>0</v>
          </cell>
        </row>
        <row r="21">
          <cell r="K21">
            <v>0</v>
          </cell>
        </row>
        <row r="26">
          <cell r="K26">
            <v>32912</v>
          </cell>
        </row>
        <row r="27">
          <cell r="K27">
            <v>0</v>
          </cell>
        </row>
        <row r="28">
          <cell r="K28">
            <v>0</v>
          </cell>
        </row>
        <row r="31">
          <cell r="K31">
            <v>0</v>
          </cell>
        </row>
        <row r="32">
          <cell r="K32">
            <v>0</v>
          </cell>
        </row>
        <row r="33">
          <cell r="K33">
            <v>0</v>
          </cell>
        </row>
        <row r="36">
          <cell r="K36">
            <v>0</v>
          </cell>
        </row>
        <row r="37">
          <cell r="K37">
            <v>0</v>
          </cell>
        </row>
        <row r="38">
          <cell r="K38">
            <v>0</v>
          </cell>
        </row>
        <row r="43">
          <cell r="K43">
            <v>0</v>
          </cell>
        </row>
        <row r="44">
          <cell r="K44">
            <v>0</v>
          </cell>
        </row>
        <row r="45">
          <cell r="K45">
            <v>0</v>
          </cell>
        </row>
        <row r="48">
          <cell r="K48">
            <v>0</v>
          </cell>
        </row>
        <row r="49">
          <cell r="K49">
            <v>0</v>
          </cell>
        </row>
        <row r="50">
          <cell r="K50">
            <v>0</v>
          </cell>
        </row>
        <row r="53">
          <cell r="K53">
            <v>32912</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tabSelected="1" workbookViewId="0" topLeftCell="A16">
      <selection activeCell="K23" sqref="K23"/>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28" t="s">
        <v>0</v>
      </c>
      <c r="B1" s="328"/>
      <c r="C1" s="328"/>
      <c r="D1" s="331" t="s">
        <v>344</v>
      </c>
      <c r="E1" s="332"/>
      <c r="F1" s="332"/>
      <c r="G1" s="332"/>
      <c r="H1" s="332"/>
      <c r="I1" s="332"/>
      <c r="J1" s="37"/>
      <c r="K1" s="18"/>
      <c r="L1" s="42" t="s">
        <v>1</v>
      </c>
      <c r="M1" s="324" t="s">
        <v>346</v>
      </c>
      <c r="N1" s="325"/>
      <c r="O1" s="322" t="s">
        <v>91</v>
      </c>
      <c r="P1" s="322"/>
      <c r="Q1" s="322"/>
      <c r="R1" s="255" t="s">
        <v>341</v>
      </c>
    </row>
    <row r="2" spans="4:18" ht="12.75" customHeight="1">
      <c r="D2" s="319" t="s">
        <v>89</v>
      </c>
      <c r="E2" s="319"/>
      <c r="F2" s="319"/>
      <c r="G2" s="319"/>
      <c r="H2" s="319"/>
      <c r="I2" s="319"/>
      <c r="M2" s="36"/>
      <c r="O2" s="43"/>
      <c r="P2" s="43"/>
      <c r="Q2" s="36"/>
      <c r="R2" s="39"/>
    </row>
    <row r="3" spans="4:18" ht="12.75" customHeight="1">
      <c r="D3" s="333" t="s">
        <v>345</v>
      </c>
      <c r="E3" s="315"/>
      <c r="F3" s="315"/>
      <c r="G3" s="315"/>
      <c r="H3" s="315"/>
      <c r="I3" s="315"/>
      <c r="M3" s="36"/>
      <c r="O3" s="43"/>
      <c r="P3" s="43"/>
      <c r="Q3" s="36"/>
      <c r="R3" s="39"/>
    </row>
    <row r="4" spans="4:18" ht="12.75" customHeight="1">
      <c r="D4" s="319" t="s">
        <v>90</v>
      </c>
      <c r="E4" s="319"/>
      <c r="F4" s="319"/>
      <c r="G4" s="319"/>
      <c r="H4" s="319"/>
      <c r="I4" s="319"/>
      <c r="M4" s="36"/>
      <c r="O4" s="43"/>
      <c r="P4" s="43"/>
      <c r="Q4" s="36"/>
      <c r="R4" s="39"/>
    </row>
    <row r="5" spans="13:18" ht="12.75" customHeight="1">
      <c r="M5" s="36"/>
      <c r="O5" s="43"/>
      <c r="P5" s="43"/>
      <c r="Q5" s="36"/>
      <c r="R5" s="39"/>
    </row>
    <row r="6" spans="1:10" ht="18" customHeight="1">
      <c r="A6" s="36"/>
      <c r="B6" s="329" t="s">
        <v>282</v>
      </c>
      <c r="C6" s="329"/>
      <c r="D6" s="329"/>
      <c r="E6" s="329"/>
      <c r="F6" s="329"/>
      <c r="G6" s="329"/>
      <c r="H6" s="329"/>
      <c r="I6" s="329"/>
      <c r="J6" s="36"/>
    </row>
    <row r="7" spans="1:10" ht="12.75">
      <c r="A7" s="36"/>
      <c r="B7" s="36"/>
      <c r="C7" s="36"/>
      <c r="D7" s="36"/>
      <c r="E7" s="36"/>
      <c r="F7" s="36"/>
      <c r="G7" s="36"/>
      <c r="H7" s="37"/>
      <c r="I7" s="37"/>
      <c r="J7" s="45"/>
    </row>
    <row r="8" spans="1:18" ht="18" customHeight="1">
      <c r="A8" s="36"/>
      <c r="B8" s="329" t="s">
        <v>2</v>
      </c>
      <c r="C8" s="329"/>
      <c r="D8" s="329"/>
      <c r="E8" s="329"/>
      <c r="F8" s="329"/>
      <c r="G8" s="329"/>
      <c r="H8" s="329"/>
      <c r="I8" s="329"/>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30" t="s">
        <v>3</v>
      </c>
      <c r="C10" s="330"/>
      <c r="D10" s="330"/>
      <c r="E10" s="330"/>
      <c r="F10" s="330"/>
      <c r="G10" s="330"/>
      <c r="H10" s="330"/>
      <c r="I10" s="330"/>
      <c r="J10" s="323"/>
      <c r="K10" s="248"/>
    </row>
    <row r="11" spans="1:18" ht="12.75" customHeight="1">
      <c r="A11" s="36"/>
      <c r="B11" s="330"/>
      <c r="C11" s="330"/>
      <c r="D11" s="330"/>
      <c r="E11" s="330"/>
      <c r="F11" s="330"/>
      <c r="G11" s="330"/>
      <c r="H11" s="330"/>
      <c r="I11" s="330"/>
      <c r="J11" s="323"/>
      <c r="K11" s="47" t="s">
        <v>44</v>
      </c>
      <c r="L11" s="335" t="s">
        <v>284</v>
      </c>
      <c r="M11" s="336"/>
      <c r="N11" s="336"/>
      <c r="O11" s="336"/>
      <c r="P11" s="336"/>
      <c r="Q11" s="48" t="s">
        <v>5</v>
      </c>
      <c r="R11" s="49">
        <f>'[1]Cover'!$R$19</f>
        <v>1725371</v>
      </c>
    </row>
    <row r="12" spans="1:10" ht="12.75" customHeight="1">
      <c r="A12" s="36"/>
      <c r="B12" s="36"/>
      <c r="C12" s="36"/>
      <c r="D12" s="315" t="s">
        <v>83</v>
      </c>
      <c r="E12" s="315"/>
      <c r="F12" s="315"/>
      <c r="G12" s="315"/>
      <c r="H12" s="315"/>
      <c r="I12" s="37"/>
      <c r="J12" s="45"/>
    </row>
    <row r="13" spans="2:17" ht="12.75" customHeight="1">
      <c r="B13" s="340" t="s">
        <v>80</v>
      </c>
      <c r="C13" s="340"/>
      <c r="D13" s="341"/>
      <c r="E13" s="341"/>
      <c r="F13" s="341"/>
      <c r="G13" s="341"/>
      <c r="H13" s="341"/>
      <c r="I13" s="340"/>
      <c r="J13" s="50"/>
      <c r="K13" s="47" t="s">
        <v>45</v>
      </c>
      <c r="L13" s="334" t="s">
        <v>285</v>
      </c>
      <c r="M13" s="334"/>
      <c r="N13" s="334"/>
      <c r="O13" s="334"/>
      <c r="P13" s="334"/>
      <c r="Q13" s="334"/>
    </row>
    <row r="14" ht="12.75" customHeight="1">
      <c r="J14" s="50"/>
    </row>
    <row r="15" spans="1:18" ht="12.75" customHeight="1">
      <c r="A15" s="37"/>
      <c r="B15" s="37"/>
      <c r="C15" s="37"/>
      <c r="I15" s="37"/>
      <c r="J15" s="50"/>
      <c r="O15" s="44" t="s">
        <v>6</v>
      </c>
      <c r="P15" s="51" t="s">
        <v>7</v>
      </c>
      <c r="Q15" s="52" t="s">
        <v>5</v>
      </c>
      <c r="R15" s="53">
        <v>4323</v>
      </c>
    </row>
    <row r="16" spans="1:18" ht="12.75" customHeight="1">
      <c r="A16" s="38"/>
      <c r="B16" s="326" t="s">
        <v>81</v>
      </c>
      <c r="C16" s="326"/>
      <c r="D16" s="326"/>
      <c r="E16" s="326"/>
      <c r="F16" s="326"/>
      <c r="G16" s="326"/>
      <c r="H16" s="326"/>
      <c r="I16" s="326"/>
      <c r="J16" s="50"/>
      <c r="O16" s="44" t="s">
        <v>9</v>
      </c>
      <c r="P16" s="51" t="s">
        <v>10</v>
      </c>
      <c r="Q16" s="52" t="s">
        <v>5</v>
      </c>
      <c r="R16" s="49"/>
    </row>
    <row r="17" spans="10:18" ht="12.75" customHeight="1">
      <c r="J17" s="50"/>
      <c r="O17" s="44" t="s">
        <v>8</v>
      </c>
      <c r="P17" s="51" t="s">
        <v>69</v>
      </c>
      <c r="Q17" s="52" t="s">
        <v>5</v>
      </c>
      <c r="R17" s="54">
        <v>1283325</v>
      </c>
    </row>
    <row r="18" spans="2:18" ht="12.75" customHeight="1">
      <c r="B18" s="37"/>
      <c r="C18" s="37"/>
      <c r="D18" s="37"/>
      <c r="E18" s="37"/>
      <c r="F18" s="37"/>
      <c r="G18" s="37"/>
      <c r="H18" s="37"/>
      <c r="I18" s="37"/>
      <c r="J18" s="50"/>
      <c r="O18" s="44" t="s">
        <v>11</v>
      </c>
      <c r="P18" s="51" t="s">
        <v>70</v>
      </c>
      <c r="Q18" s="52" t="s">
        <v>5</v>
      </c>
      <c r="R18" s="54">
        <v>253159</v>
      </c>
    </row>
    <row r="19" spans="2:18" ht="12.75" customHeight="1">
      <c r="B19" s="327" t="s">
        <v>283</v>
      </c>
      <c r="C19" s="326"/>
      <c r="D19" s="326"/>
      <c r="E19" s="326"/>
      <c r="F19" s="326"/>
      <c r="G19" s="326"/>
      <c r="H19" s="326"/>
      <c r="I19" s="326"/>
      <c r="J19" s="50"/>
      <c r="O19" s="35" t="s">
        <v>46</v>
      </c>
      <c r="Q19" s="52" t="s">
        <v>5</v>
      </c>
      <c r="R19" s="55">
        <f>SUM(R15:R18)</f>
        <v>1540807</v>
      </c>
    </row>
    <row r="20" spans="3:10" ht="12.75" customHeight="1">
      <c r="C20" s="316" t="s">
        <v>82</v>
      </c>
      <c r="D20" s="316"/>
      <c r="F20" s="320">
        <v>42899</v>
      </c>
      <c r="G20" s="320"/>
      <c r="H20" s="320"/>
      <c r="J20" s="50"/>
    </row>
    <row r="21" spans="3:10" ht="12.75" customHeight="1">
      <c r="C21" s="316" t="s">
        <v>83</v>
      </c>
      <c r="D21" s="316"/>
      <c r="F21" s="321">
        <v>42921</v>
      </c>
      <c r="G21" s="321"/>
      <c r="H21" s="321"/>
      <c r="I21" s="18"/>
      <c r="J21" s="50"/>
    </row>
    <row r="22" spans="1:18" ht="12.75" customHeight="1">
      <c r="A22" s="39"/>
      <c r="C22" s="316" t="s">
        <v>84</v>
      </c>
      <c r="D22" s="316"/>
      <c r="F22" s="321"/>
      <c r="G22" s="321"/>
      <c r="H22" s="321"/>
      <c r="J22" s="56"/>
      <c r="L22" s="337"/>
      <c r="M22" s="337"/>
      <c r="N22" s="337"/>
      <c r="O22" s="337"/>
      <c r="P22" s="337"/>
      <c r="Q22" s="337"/>
      <c r="R22" s="337"/>
    </row>
    <row r="23" spans="6:21" ht="12.75" customHeight="1">
      <c r="F23" s="319" t="s">
        <v>85</v>
      </c>
      <c r="G23" s="319"/>
      <c r="H23" s="319"/>
      <c r="I23" s="18"/>
      <c r="J23" s="50"/>
      <c r="N23" s="338"/>
      <c r="O23" s="338"/>
      <c r="R23" s="339"/>
      <c r="S23" s="339"/>
      <c r="T23" s="339"/>
      <c r="U23" s="339"/>
    </row>
    <row r="24" spans="2:18" ht="12.75" customHeight="1">
      <c r="B24" s="57"/>
      <c r="E24" s="58"/>
      <c r="I24" s="18"/>
      <c r="J24" s="50"/>
      <c r="L24" s="17"/>
      <c r="M24" s="17"/>
      <c r="N24" s="17"/>
      <c r="O24" s="17"/>
      <c r="P24" s="17"/>
      <c r="Q24" s="17"/>
      <c r="R24" s="17"/>
    </row>
    <row r="25" spans="1:18" ht="12.75" customHeight="1">
      <c r="A25" s="313" t="s">
        <v>307</v>
      </c>
      <c r="B25" s="313"/>
      <c r="C25" s="313"/>
      <c r="D25" s="313"/>
      <c r="E25" s="313"/>
      <c r="F25" s="313"/>
      <c r="G25" s="313"/>
      <c r="H25" s="313"/>
      <c r="I25" s="313"/>
      <c r="J25" s="314"/>
      <c r="L25" s="342" t="s">
        <v>140</v>
      </c>
      <c r="M25" s="342"/>
      <c r="N25" s="342"/>
      <c r="O25" s="349" t="s">
        <v>340</v>
      </c>
      <c r="P25" s="350"/>
      <c r="Q25" s="350"/>
      <c r="R25" s="350"/>
    </row>
    <row r="26" spans="1:18" ht="12.75" customHeight="1">
      <c r="A26" s="313" t="s">
        <v>308</v>
      </c>
      <c r="B26" s="313"/>
      <c r="C26" s="313"/>
      <c r="D26" s="313"/>
      <c r="E26" s="313"/>
      <c r="F26" s="313"/>
      <c r="G26" s="313"/>
      <c r="H26" s="313"/>
      <c r="I26" s="313"/>
      <c r="J26" s="314"/>
      <c r="L26" s="59" t="s">
        <v>138</v>
      </c>
      <c r="M26" s="349" t="s">
        <v>342</v>
      </c>
      <c r="N26" s="350"/>
      <c r="O26" s="52" t="s">
        <v>139</v>
      </c>
      <c r="P26" s="344" t="s">
        <v>343</v>
      </c>
      <c r="Q26" s="345"/>
      <c r="R26" s="345"/>
    </row>
    <row r="27" spans="1:10" ht="12.75" customHeight="1">
      <c r="A27" s="313" t="s">
        <v>329</v>
      </c>
      <c r="B27" s="313"/>
      <c r="C27" s="313"/>
      <c r="D27" s="313"/>
      <c r="E27" s="313"/>
      <c r="F27" s="313"/>
      <c r="G27" s="313"/>
      <c r="H27" s="313"/>
      <c r="I27" s="313"/>
      <c r="J27" s="314"/>
    </row>
    <row r="28" spans="2:10" ht="12.75" customHeight="1">
      <c r="B28" s="38"/>
      <c r="C28" s="57"/>
      <c r="D28" s="61"/>
      <c r="E28" s="37"/>
      <c r="F28" s="39"/>
      <c r="G28" s="62"/>
      <c r="H28" s="60"/>
      <c r="I28" s="60"/>
      <c r="J28" s="46"/>
    </row>
    <row r="29" spans="1:18" ht="12.75" customHeight="1">
      <c r="A29" s="318"/>
      <c r="B29" s="318"/>
      <c r="C29" s="318"/>
      <c r="D29" s="318"/>
      <c r="E29" s="318"/>
      <c r="F29" s="38"/>
      <c r="G29" s="317"/>
      <c r="H29" s="317"/>
      <c r="I29" s="317"/>
      <c r="J29" s="46"/>
      <c r="L29" s="351" t="s">
        <v>295</v>
      </c>
      <c r="M29" s="352"/>
      <c r="N29" s="352"/>
      <c r="O29" s="352"/>
      <c r="P29" s="352"/>
      <c r="Q29" s="352"/>
      <c r="R29" s="352"/>
    </row>
    <row r="30" spans="1:18" ht="12.75" customHeight="1">
      <c r="A30" s="37"/>
      <c r="B30" s="37"/>
      <c r="C30" s="37"/>
      <c r="D30" s="37"/>
      <c r="E30" s="37"/>
      <c r="F30" s="37"/>
      <c r="G30" s="37"/>
      <c r="H30" s="60"/>
      <c r="I30" s="60"/>
      <c r="J30" s="46"/>
      <c r="L30" s="346">
        <v>42931</v>
      </c>
      <c r="M30" s="346"/>
      <c r="N30" s="347" t="s">
        <v>87</v>
      </c>
      <c r="O30" s="347"/>
      <c r="P30" s="347"/>
      <c r="Q30" s="347"/>
      <c r="R30" s="347"/>
    </row>
    <row r="31" spans="1:18" ht="12.75" customHeight="1">
      <c r="A31" s="318"/>
      <c r="B31" s="318"/>
      <c r="C31" s="318"/>
      <c r="D31" s="318"/>
      <c r="E31" s="318"/>
      <c r="F31" s="38"/>
      <c r="G31" s="317"/>
      <c r="H31" s="317"/>
      <c r="I31" s="317"/>
      <c r="J31" s="50"/>
      <c r="L31" s="37"/>
      <c r="M31" s="63"/>
      <c r="N31" s="63"/>
      <c r="O31" s="63"/>
      <c r="P31" s="63"/>
      <c r="Q31" s="63"/>
      <c r="R31" s="63"/>
    </row>
    <row r="32" spans="1:18" ht="12.75" customHeight="1">
      <c r="A32" s="40"/>
      <c r="B32" s="40"/>
      <c r="C32" s="40"/>
      <c r="D32" s="40"/>
      <c r="E32" s="40"/>
      <c r="F32" s="37"/>
      <c r="G32" s="40"/>
      <c r="H32" s="18"/>
      <c r="I32" s="18"/>
      <c r="J32" s="50"/>
      <c r="L32" s="348"/>
      <c r="M32" s="348"/>
      <c r="N32" s="348"/>
      <c r="O32" s="64"/>
      <c r="P32" s="65"/>
      <c r="Q32" s="65"/>
      <c r="R32" s="65"/>
    </row>
    <row r="33" spans="1:18" ht="12.75" customHeight="1">
      <c r="A33" s="318"/>
      <c r="B33" s="318"/>
      <c r="C33" s="318"/>
      <c r="D33" s="318"/>
      <c r="E33" s="318"/>
      <c r="F33" s="38"/>
      <c r="G33" s="317"/>
      <c r="H33" s="317"/>
      <c r="I33" s="317"/>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17"/>
      <c r="H35" s="317"/>
      <c r="I35" s="317"/>
      <c r="J35" s="66"/>
      <c r="L35" s="318"/>
      <c r="M35" s="318"/>
      <c r="N35" s="318"/>
      <c r="P35" s="318"/>
      <c r="Q35" s="318"/>
      <c r="R35" s="318"/>
    </row>
    <row r="36" spans="1:18" s="35" customFormat="1" ht="12.75" customHeight="1">
      <c r="A36" s="37"/>
      <c r="B36" s="37"/>
      <c r="C36" s="37"/>
      <c r="D36" s="60"/>
      <c r="E36" s="60"/>
      <c r="F36" s="60"/>
      <c r="G36" s="60"/>
      <c r="H36" s="67"/>
      <c r="I36" s="67"/>
      <c r="J36" s="66"/>
      <c r="L36" s="343" t="s">
        <v>253</v>
      </c>
      <c r="M36" s="319"/>
      <c r="N36" s="319"/>
      <c r="P36" s="343" t="s">
        <v>253</v>
      </c>
      <c r="Q36" s="319"/>
      <c r="R36" s="319"/>
    </row>
    <row r="37" spans="1:10" s="37" customFormat="1" ht="12.75" customHeight="1">
      <c r="A37" s="318"/>
      <c r="B37" s="318"/>
      <c r="C37" s="318"/>
      <c r="D37" s="318"/>
      <c r="E37" s="318"/>
      <c r="F37" s="38"/>
      <c r="G37" s="317"/>
      <c r="H37" s="317"/>
      <c r="I37" s="317"/>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17"/>
      <c r="H39" s="317"/>
      <c r="I39" s="317"/>
      <c r="J39" s="66"/>
      <c r="L39" s="333" t="s">
        <v>340</v>
      </c>
      <c r="M39" s="315"/>
      <c r="N39" s="315"/>
      <c r="O39" s="65"/>
      <c r="P39" s="315" t="s">
        <v>347</v>
      </c>
      <c r="Q39" s="315"/>
      <c r="R39" s="315"/>
    </row>
    <row r="40" spans="1:18" s="35" customFormat="1" ht="12.75" customHeight="1">
      <c r="A40" s="37"/>
      <c r="B40" s="37"/>
      <c r="C40" s="37"/>
      <c r="D40" s="60"/>
      <c r="E40" s="60"/>
      <c r="F40" s="60"/>
      <c r="G40" s="60"/>
      <c r="H40" s="67"/>
      <c r="I40" s="67"/>
      <c r="J40" s="66"/>
      <c r="L40" s="343" t="s">
        <v>255</v>
      </c>
      <c r="M40" s="319"/>
      <c r="N40" s="319"/>
      <c r="O40" s="65"/>
      <c r="P40" s="343" t="s">
        <v>255</v>
      </c>
      <c r="Q40" s="319"/>
      <c r="R40" s="319"/>
    </row>
    <row r="41" spans="1:18" s="37" customFormat="1" ht="12.75" customHeight="1">
      <c r="A41" s="318"/>
      <c r="B41" s="318"/>
      <c r="C41" s="318"/>
      <c r="D41" s="318"/>
      <c r="E41" s="318"/>
      <c r="F41" s="38"/>
      <c r="G41" s="317"/>
      <c r="H41" s="317"/>
      <c r="I41" s="317"/>
      <c r="J41" s="66"/>
      <c r="M41" s="65"/>
      <c r="N41" s="65"/>
      <c r="O41" s="65"/>
      <c r="P41" s="65"/>
      <c r="Q41" s="65"/>
      <c r="R41" s="65"/>
    </row>
    <row r="42" spans="1:18" s="35" customFormat="1" ht="12.75" customHeight="1">
      <c r="A42" s="319" t="s">
        <v>86</v>
      </c>
      <c r="B42" s="319"/>
      <c r="C42" s="319"/>
      <c r="D42" s="319"/>
      <c r="E42" s="319"/>
      <c r="F42" s="38"/>
      <c r="G42" s="319" t="s">
        <v>43</v>
      </c>
      <c r="H42" s="319"/>
      <c r="I42" s="319"/>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3">
    <mergeCell ref="L40:N40"/>
    <mergeCell ref="L30:M30"/>
    <mergeCell ref="N30:R30"/>
    <mergeCell ref="L32:N32"/>
    <mergeCell ref="L35:N35"/>
    <mergeCell ref="O25:R25"/>
    <mergeCell ref="P40:R40"/>
    <mergeCell ref="L39:N39"/>
    <mergeCell ref="L29:R29"/>
    <mergeCell ref="M26:N26"/>
    <mergeCell ref="L25:N25"/>
    <mergeCell ref="P36:R36"/>
    <mergeCell ref="P35:R35"/>
    <mergeCell ref="P39:R39"/>
    <mergeCell ref="P26:R26"/>
    <mergeCell ref="L36:N36"/>
    <mergeCell ref="B11:I11"/>
    <mergeCell ref="L13:Q13"/>
    <mergeCell ref="L11:P11"/>
    <mergeCell ref="L22:R22"/>
    <mergeCell ref="N23:O23"/>
    <mergeCell ref="R23:U23"/>
    <mergeCell ref="B13:I13"/>
    <mergeCell ref="A1:C1"/>
    <mergeCell ref="B6:I6"/>
    <mergeCell ref="B8:I8"/>
    <mergeCell ref="B10:I10"/>
    <mergeCell ref="D1:I1"/>
    <mergeCell ref="D2:I2"/>
    <mergeCell ref="D3:I3"/>
    <mergeCell ref="D4:I4"/>
    <mergeCell ref="A42:E42"/>
    <mergeCell ref="G37:I37"/>
    <mergeCell ref="G39:I39"/>
    <mergeCell ref="A37:E37"/>
    <mergeCell ref="A39:E39"/>
    <mergeCell ref="G41:I41"/>
    <mergeCell ref="O1:Q1"/>
    <mergeCell ref="J10:J11"/>
    <mergeCell ref="M1:N1"/>
    <mergeCell ref="G29:I29"/>
    <mergeCell ref="G31:I31"/>
    <mergeCell ref="G42:I42"/>
    <mergeCell ref="F22:H22"/>
    <mergeCell ref="B16:I16"/>
    <mergeCell ref="B19:I19"/>
    <mergeCell ref="A41:E41"/>
    <mergeCell ref="G35:I35"/>
    <mergeCell ref="A33:E33"/>
    <mergeCell ref="F23:H23"/>
    <mergeCell ref="G33:I33"/>
    <mergeCell ref="F20:H20"/>
    <mergeCell ref="C22:D22"/>
    <mergeCell ref="A35:E35"/>
    <mergeCell ref="A29:E29"/>
    <mergeCell ref="A31:E31"/>
    <mergeCell ref="F21:H21"/>
    <mergeCell ref="A26:J26"/>
    <mergeCell ref="A27:J27"/>
    <mergeCell ref="A25:J25"/>
    <mergeCell ref="D12:H12"/>
    <mergeCell ref="C20:D20"/>
    <mergeCell ref="C21:D21"/>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zoomScale="90" zoomScaleNormal="90" workbookViewId="0" topLeftCell="A1">
      <selection activeCell="G14" sqref="G14"/>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Phoenix Collegiate Academy High, LLC</v>
      </c>
      <c r="E1" s="353"/>
      <c r="F1" s="353"/>
      <c r="H1" s="70" t="s">
        <v>54</v>
      </c>
      <c r="I1" s="354" t="str">
        <f>Cover!M1</f>
        <v>Maricopa</v>
      </c>
      <c r="J1" s="354"/>
      <c r="L1" s="70" t="s">
        <v>91</v>
      </c>
      <c r="M1" s="355" t="str">
        <f>Cover!R1</f>
        <v>078277000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380630</v>
      </c>
      <c r="G8" s="106">
        <v>64117</v>
      </c>
      <c r="H8" s="106">
        <v>12902</v>
      </c>
      <c r="I8" s="106">
        <v>45482</v>
      </c>
      <c r="J8" s="168">
        <v>24825</v>
      </c>
      <c r="K8" s="170">
        <f>[1]!SP1000P100F1000</f>
        <v>462144</v>
      </c>
      <c r="L8" s="171">
        <f>SUM(F8:J8)</f>
        <v>527956</v>
      </c>
      <c r="M8" s="172">
        <f>IF(K8=0," ",(L8-K8)/K8)</f>
        <v>0.142</v>
      </c>
      <c r="N8" s="2">
        <v>1</v>
      </c>
    </row>
    <row r="9" spans="2:14" ht="12" customHeight="1">
      <c r="B9" s="17" t="s">
        <v>24</v>
      </c>
      <c r="E9" s="124"/>
      <c r="F9" s="128"/>
      <c r="G9" s="128"/>
      <c r="H9" s="128"/>
      <c r="I9" s="128"/>
      <c r="J9" s="130"/>
      <c r="K9" s="77"/>
      <c r="L9" s="77"/>
      <c r="M9" s="77"/>
      <c r="N9" s="2"/>
    </row>
    <row r="10" spans="2:14" ht="12" customHeight="1">
      <c r="B10" s="17" t="s">
        <v>131</v>
      </c>
      <c r="E10" s="124">
        <v>2</v>
      </c>
      <c r="F10" s="106">
        <v>61600</v>
      </c>
      <c r="G10" s="106">
        <v>11365</v>
      </c>
      <c r="H10" s="106">
        <v>3514</v>
      </c>
      <c r="I10" s="106">
        <v>4838</v>
      </c>
      <c r="J10" s="168"/>
      <c r="K10" s="106">
        <f>[1]!SP1000P100F2100</f>
        <v>97796</v>
      </c>
      <c r="L10" s="108">
        <f>SUM(F10:J10)</f>
        <v>81317</v>
      </c>
      <c r="M10" s="167">
        <f>IF(K10=0," ",(L10-K10)/K10)</f>
        <v>-0.169</v>
      </c>
      <c r="N10" s="2">
        <v>2</v>
      </c>
    </row>
    <row r="11" spans="2:14" ht="12" customHeight="1">
      <c r="B11" s="17" t="s">
        <v>149</v>
      </c>
      <c r="E11" s="124">
        <v>3</v>
      </c>
      <c r="F11" s="25">
        <v>14307</v>
      </c>
      <c r="G11" s="25"/>
      <c r="H11" s="25"/>
      <c r="I11" s="25">
        <v>500</v>
      </c>
      <c r="J11" s="25"/>
      <c r="K11" s="25">
        <f>[1]!SP1000P100F2200</f>
        <v>104976</v>
      </c>
      <c r="L11" s="6">
        <f aca="true" t="shared" si="0" ref="L11:L23">SUM(F11:J11)</f>
        <v>14807</v>
      </c>
      <c r="M11" s="12">
        <f aca="true" t="shared" si="1" ref="M11:M23">IF(K11=0," ",(L11-K11)/K11)</f>
        <v>-0.859</v>
      </c>
      <c r="N11" s="91">
        <v>3</v>
      </c>
    </row>
    <row r="12" spans="2:14" ht="12" customHeight="1">
      <c r="B12" s="17" t="s">
        <v>25</v>
      </c>
      <c r="E12" s="124">
        <v>4</v>
      </c>
      <c r="F12" s="25"/>
      <c r="G12" s="25"/>
      <c r="H12" s="25"/>
      <c r="I12" s="25"/>
      <c r="J12" s="25"/>
      <c r="K12" s="26">
        <f>[1]!SP1000P100F2300</f>
        <v>3800</v>
      </c>
      <c r="L12" s="6">
        <f t="shared" si="0"/>
        <v>0</v>
      </c>
      <c r="M12" s="12">
        <f t="shared" si="1"/>
        <v>-1</v>
      </c>
      <c r="N12" s="91">
        <v>4</v>
      </c>
    </row>
    <row r="13" spans="2:14" ht="12" customHeight="1">
      <c r="B13" s="17" t="s">
        <v>26</v>
      </c>
      <c r="E13" s="124">
        <v>5</v>
      </c>
      <c r="F13" s="25">
        <f>85950-F17</f>
        <v>79950</v>
      </c>
      <c r="G13" s="25">
        <f>12383-G17</f>
        <v>11898</v>
      </c>
      <c r="H13" s="25">
        <v>1000</v>
      </c>
      <c r="I13" s="25">
        <v>1100</v>
      </c>
      <c r="J13" s="25"/>
      <c r="K13" s="26">
        <f>[1]!SP1000P100F2400</f>
        <v>85000</v>
      </c>
      <c r="L13" s="6">
        <f t="shared" si="0"/>
        <v>93948</v>
      </c>
      <c r="M13" s="12">
        <f t="shared" si="1"/>
        <v>0.105</v>
      </c>
      <c r="N13" s="91">
        <v>5</v>
      </c>
    </row>
    <row r="14" spans="2:14" ht="12" customHeight="1">
      <c r="B14" s="17" t="s">
        <v>150</v>
      </c>
      <c r="E14" s="124">
        <v>6</v>
      </c>
      <c r="F14" s="25"/>
      <c r="G14" s="25"/>
      <c r="H14" s="25">
        <f>212702-1903</f>
        <v>210799</v>
      </c>
      <c r="I14" s="25">
        <v>50</v>
      </c>
      <c r="J14" s="25">
        <v>235103</v>
      </c>
      <c r="K14" s="26">
        <f>[1]!SP1000P100F2500</f>
        <v>443716</v>
      </c>
      <c r="L14" s="6">
        <f>SUM(F14:J14)</f>
        <v>445952</v>
      </c>
      <c r="M14" s="12">
        <f t="shared" si="1"/>
        <v>0.005</v>
      </c>
      <c r="N14" s="91">
        <v>6</v>
      </c>
    </row>
    <row r="15" spans="2:14" ht="12" customHeight="1">
      <c r="B15" s="17" t="s">
        <v>151</v>
      </c>
      <c r="E15" s="124">
        <v>7</v>
      </c>
      <c r="F15" s="25">
        <v>11600</v>
      </c>
      <c r="G15" s="25">
        <v>937</v>
      </c>
      <c r="H15" s="25">
        <v>48260</v>
      </c>
      <c r="I15" s="25">
        <v>27716</v>
      </c>
      <c r="J15" s="25">
        <v>12433</v>
      </c>
      <c r="K15" s="26">
        <f>[1]!SP1000P100F2600</f>
        <v>64512</v>
      </c>
      <c r="L15" s="6">
        <f t="shared" si="0"/>
        <v>100946</v>
      </c>
      <c r="M15" s="12">
        <f t="shared" si="1"/>
        <v>0.565</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v>6000</v>
      </c>
      <c r="G17" s="25">
        <v>485</v>
      </c>
      <c r="H17" s="25">
        <v>54169</v>
      </c>
      <c r="I17" s="25"/>
      <c r="J17" s="25"/>
      <c r="K17" s="26">
        <f>[1]!SP1000P100F3000</f>
        <v>66532</v>
      </c>
      <c r="L17" s="6">
        <f t="shared" si="0"/>
        <v>60654</v>
      </c>
      <c r="M17" s="12">
        <f t="shared" si="1"/>
        <v>-0.088</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c r="K19" s="26">
        <f>[1]!SP1000P100F5000</f>
        <v>0</v>
      </c>
      <c r="L19" s="6">
        <f t="shared" si="0"/>
        <v>0</v>
      </c>
      <c r="M19" s="12" t="str">
        <f t="shared" si="1"/>
        <v> </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v>14004</v>
      </c>
      <c r="J21" s="25"/>
      <c r="K21" s="25">
        <f>[1]!SP1000P620</f>
        <v>14004</v>
      </c>
      <c r="L21" s="6">
        <f>SUM(F21:J21)</f>
        <v>14004</v>
      </c>
      <c r="M21" s="12">
        <f t="shared" si="1"/>
        <v>0</v>
      </c>
      <c r="N21" s="91">
        <v>13</v>
      </c>
    </row>
    <row r="22" spans="1:14" ht="12" customHeight="1">
      <c r="A22" s="14" t="s">
        <v>78</v>
      </c>
      <c r="B22" s="14"/>
      <c r="C22" s="14"/>
      <c r="D22" s="14"/>
      <c r="E22" s="21">
        <v>14</v>
      </c>
      <c r="F22" s="125"/>
      <c r="G22" s="25"/>
      <c r="H22" s="25"/>
      <c r="I22" s="25"/>
      <c r="J22" s="25"/>
      <c r="K22" s="25">
        <f>[1]!SP1000P630700800900</f>
        <v>0</v>
      </c>
      <c r="L22" s="6">
        <f t="shared" si="0"/>
        <v>0</v>
      </c>
      <c r="M22" s="12" t="str">
        <f t="shared" si="1"/>
        <v> </v>
      </c>
      <c r="N22" s="91">
        <v>14</v>
      </c>
    </row>
    <row r="23" spans="1:14" ht="12" customHeight="1">
      <c r="A23" s="31"/>
      <c r="B23" s="31" t="s">
        <v>144</v>
      </c>
      <c r="C23" s="31"/>
      <c r="D23" s="31"/>
      <c r="E23" s="23">
        <v>15</v>
      </c>
      <c r="F23" s="6">
        <f>SUM(F7:F22)</f>
        <v>554087</v>
      </c>
      <c r="G23" s="6">
        <f>SUM(G7:G22)</f>
        <v>88802</v>
      </c>
      <c r="H23" s="6">
        <f>SUM(H7:H22)</f>
        <v>330644</v>
      </c>
      <c r="I23" s="6">
        <f>SUM(I7:I22)</f>
        <v>93690</v>
      </c>
      <c r="J23" s="6">
        <f>SUM(J7:J22)</f>
        <v>272361</v>
      </c>
      <c r="K23" s="164">
        <f>SUM(K8:K22)</f>
        <v>1342480</v>
      </c>
      <c r="L23" s="164">
        <f t="shared" si="0"/>
        <v>1339584</v>
      </c>
      <c r="M23" s="12">
        <f t="shared" si="1"/>
        <v>-0.002</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c r="G25" s="106">
        <v>2407</v>
      </c>
      <c r="H25" s="106">
        <v>38693</v>
      </c>
      <c r="I25" s="106"/>
      <c r="J25" s="168"/>
      <c r="K25" s="106">
        <f>[1]!SP1000P200F1000</f>
        <v>336</v>
      </c>
      <c r="L25" s="108">
        <f>SUM(F25:J25)</f>
        <v>41100</v>
      </c>
      <c r="M25" s="237">
        <f>IF(K25=0," ",(L25-K25)/K25)</f>
        <v>121.321</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c r="G27" s="106"/>
      <c r="H27" s="106">
        <v>10560</v>
      </c>
      <c r="I27" s="106"/>
      <c r="J27" s="168"/>
      <c r="K27" s="106">
        <f>[1]!SP1000P200F2100</f>
        <v>38226</v>
      </c>
      <c r="L27" s="108">
        <f>SUM(F27:J27)</f>
        <v>10560</v>
      </c>
      <c r="M27" s="237">
        <f>IF(K27=0," ",(L27-K27)/K27)</f>
        <v>-0.724</v>
      </c>
      <c r="N27" s="91">
        <v>17</v>
      </c>
    </row>
    <row r="28" spans="2:14" ht="12" customHeight="1">
      <c r="B28" s="17" t="s">
        <v>149</v>
      </c>
      <c r="E28" s="21">
        <v>18</v>
      </c>
      <c r="F28" s="25"/>
      <c r="G28" s="25"/>
      <c r="H28" s="25"/>
      <c r="I28" s="25"/>
      <c r="J28" s="25"/>
      <c r="K28" s="25">
        <f>[1]!SP1000P200F2200</f>
        <v>15000</v>
      </c>
      <c r="L28" s="6">
        <f aca="true" t="shared" si="2" ref="L28:L42">SUM(F28:J28)</f>
        <v>0</v>
      </c>
      <c r="M28" s="131">
        <f aca="true" t="shared" si="3" ref="M28:M48">IF(K28=0," ",(L28-K28)/K28)</f>
        <v>-1</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c r="I31" s="25"/>
      <c r="J31" s="25"/>
      <c r="K31" s="26">
        <f>[1]!SP1000P200F2500</f>
        <v>0</v>
      </c>
      <c r="L31" s="6">
        <f>SUM(F31:J31)</f>
        <v>0</v>
      </c>
      <c r="M31" s="12" t="str">
        <f t="shared" si="3"/>
        <v> </v>
      </c>
      <c r="N31" s="91">
        <v>21</v>
      </c>
    </row>
    <row r="32" spans="2:14" ht="12" customHeight="1">
      <c r="B32" s="17" t="s">
        <v>151</v>
      </c>
      <c r="E32" s="21">
        <v>22</v>
      </c>
      <c r="F32" s="25"/>
      <c r="G32" s="25"/>
      <c r="H32" s="25">
        <v>1903</v>
      </c>
      <c r="I32" s="25"/>
      <c r="J32" s="25"/>
      <c r="K32" s="26">
        <f>[1]!SP1000P200F2600</f>
        <v>0</v>
      </c>
      <c r="L32" s="6">
        <f t="shared" si="2"/>
        <v>1903</v>
      </c>
      <c r="M32" s="12" t="str">
        <f t="shared" si="3"/>
        <v> </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0</v>
      </c>
      <c r="G37" s="20">
        <f>SUM(G24:G36)</f>
        <v>2407</v>
      </c>
      <c r="H37" s="20">
        <f>SUM(H24:H36)</f>
        <v>51156</v>
      </c>
      <c r="I37" s="20">
        <f>SUM(I24:I36)</f>
        <v>0</v>
      </c>
      <c r="J37" s="20">
        <f>SUM(J24:J36)</f>
        <v>0</v>
      </c>
      <c r="K37" s="20">
        <f>SUM(K25:K36)</f>
        <v>53562</v>
      </c>
      <c r="L37" s="20">
        <f t="shared" si="2"/>
        <v>53563</v>
      </c>
      <c r="M37" s="131">
        <f t="shared" si="3"/>
        <v>0</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c r="I39" s="25"/>
      <c r="J39" s="25"/>
      <c r="K39" s="25">
        <f>[1]!SP1000P400</f>
        <v>0</v>
      </c>
      <c r="L39" s="6">
        <f t="shared" si="2"/>
        <v>0</v>
      </c>
      <c r="M39" s="12" t="str">
        <f t="shared" si="3"/>
        <v> </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554087</v>
      </c>
      <c r="G43" s="6">
        <f t="shared" si="4"/>
        <v>91209</v>
      </c>
      <c r="H43" s="6">
        <f t="shared" si="4"/>
        <v>381800</v>
      </c>
      <c r="I43" s="6">
        <f t="shared" si="4"/>
        <v>93690</v>
      </c>
      <c r="J43" s="6">
        <f t="shared" si="4"/>
        <v>272361</v>
      </c>
      <c r="K43" s="6">
        <f t="shared" si="4"/>
        <v>1396042</v>
      </c>
      <c r="L43" s="6">
        <f>SUM(F43:J43)</f>
        <v>1393147</v>
      </c>
      <c r="M43" s="12">
        <f t="shared" si="3"/>
        <v>-0.002</v>
      </c>
      <c r="N43" s="91">
        <v>32</v>
      </c>
    </row>
    <row r="44" spans="1:14" ht="12" customHeight="1">
      <c r="A44" s="137" t="s">
        <v>265</v>
      </c>
      <c r="B44" s="31"/>
      <c r="C44" s="31"/>
      <c r="D44" s="31"/>
      <c r="E44" s="5">
        <v>33</v>
      </c>
      <c r="F44" s="6">
        <f>TotalCSP6100</f>
        <v>52400</v>
      </c>
      <c r="G44" s="6">
        <f>TotalCSP6200</f>
        <v>15186</v>
      </c>
      <c r="H44" s="6">
        <f>TotalCSP630064006500</f>
        <v>0</v>
      </c>
      <c r="I44" s="6">
        <f>TotalCSP6600</f>
        <v>0</v>
      </c>
      <c r="J44" s="127"/>
      <c r="K44" s="25">
        <f>[1]!SP1000ClassSiteProj</f>
        <v>82280</v>
      </c>
      <c r="L44" s="6">
        <f>SUM(F44:J44)</f>
        <v>67586</v>
      </c>
      <c r="M44" s="12">
        <f t="shared" si="3"/>
        <v>-0.179</v>
      </c>
      <c r="N44" s="91">
        <v>33</v>
      </c>
    </row>
    <row r="45" spans="1:14" ht="12" customHeight="1">
      <c r="A45" s="137" t="s">
        <v>266</v>
      </c>
      <c r="B45" s="31"/>
      <c r="C45" s="31"/>
      <c r="D45" s="31"/>
      <c r="E45" s="5">
        <v>34</v>
      </c>
      <c r="F45" s="127"/>
      <c r="G45" s="127"/>
      <c r="H45" s="127"/>
      <c r="I45" s="127"/>
      <c r="J45" s="127"/>
      <c r="K45" s="25">
        <f>[1]!SP1000InstrImpProj</f>
        <v>9660</v>
      </c>
      <c r="L45" s="6">
        <f>TotalInstructionalImprovement</f>
        <v>10380</v>
      </c>
      <c r="M45" s="12">
        <f t="shared" si="3"/>
        <v>0.075</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f>[1]!SP1000FedStProj</f>
        <v>237389</v>
      </c>
      <c r="L48" s="6">
        <f>FederalandStateProjectsTotal</f>
        <v>210289</v>
      </c>
      <c r="M48" s="12">
        <f t="shared" si="3"/>
        <v>-0.114</v>
      </c>
      <c r="N48" s="91">
        <v>37</v>
      </c>
    </row>
    <row r="49" spans="1:14" ht="12" customHeight="1">
      <c r="A49" s="96"/>
      <c r="B49" s="137" t="s">
        <v>281</v>
      </c>
      <c r="C49" s="31"/>
      <c r="D49" s="31"/>
      <c r="E49" s="5">
        <v>38</v>
      </c>
      <c r="F49" s="13">
        <f>SUM(F43+F44+F46+F47)</f>
        <v>606487</v>
      </c>
      <c r="G49" s="13">
        <f>SUM(G43+G44+G46+G47)</f>
        <v>106395</v>
      </c>
      <c r="H49" s="13">
        <f>SUM(H43+H44+H46+H47)</f>
        <v>381800</v>
      </c>
      <c r="I49" s="13">
        <f>SUM(I43+I44+I46+I47)</f>
        <v>93690</v>
      </c>
      <c r="J49" s="13">
        <f>SUM(J43+J46+J47)</f>
        <v>272361</v>
      </c>
      <c r="K49" s="10">
        <f>SUM(K43:K48)</f>
        <v>1725371</v>
      </c>
      <c r="L49" s="10">
        <f>SUM(L43:L48)</f>
        <v>1681402</v>
      </c>
      <c r="M49" s="12">
        <f>IF(K49=0," ",(L49-K49)/K49)</f>
        <v>-0.025</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1">
      <selection activeCell="N28" sqref="N28"/>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Phoenix Collegiate Academy High, LLC</v>
      </c>
      <c r="D1" s="359"/>
      <c r="E1" s="359"/>
      <c r="F1" s="359"/>
      <c r="H1" s="114" t="s">
        <v>1</v>
      </c>
      <c r="I1" s="360" t="str">
        <f>Cover!M1</f>
        <v>Maricopa</v>
      </c>
      <c r="J1" s="361"/>
      <c r="K1" s="361"/>
      <c r="M1" s="48" t="s">
        <v>91</v>
      </c>
      <c r="N1" s="262" t="str">
        <f>Cover!R1</f>
        <v>078277000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22" t="s">
        <v>74</v>
      </c>
      <c r="B3" s="322"/>
      <c r="C3" s="32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f>[1]!FP11001130TitleI</f>
        <v>81436</v>
      </c>
      <c r="E5" s="148">
        <v>67923</v>
      </c>
      <c r="F5" s="117">
        <v>1</v>
      </c>
      <c r="G5" s="157">
        <v>1</v>
      </c>
      <c r="H5" s="271" t="s">
        <v>271</v>
      </c>
      <c r="I5" s="271"/>
      <c r="J5" s="292"/>
      <c r="K5" s="154"/>
      <c r="M5" s="149">
        <f>'[1]Page 2'!$N$5</f>
        <v>53562</v>
      </c>
      <c r="N5" s="149">
        <f>'Page 1'!L37</f>
        <v>53563</v>
      </c>
      <c r="O5" s="32">
        <v>1</v>
      </c>
      <c r="P5" s="113"/>
      <c r="Q5" s="113"/>
      <c r="R5" s="274"/>
      <c r="S5" s="274"/>
      <c r="T5" s="113"/>
      <c r="U5" s="113"/>
      <c r="V5" s="113"/>
      <c r="W5" s="113"/>
      <c r="X5" s="113"/>
    </row>
    <row r="6" spans="1:24" ht="12" customHeight="1">
      <c r="A6" s="153">
        <v>2</v>
      </c>
      <c r="B6" s="155" t="s">
        <v>184</v>
      </c>
      <c r="C6" s="154"/>
      <c r="D6" s="148">
        <f>[1]!FP11401150TitleII</f>
        <v>1150</v>
      </c>
      <c r="E6" s="148">
        <v>1806</v>
      </c>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112000</v>
      </c>
      <c r="E7" s="148">
        <v>80000</v>
      </c>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3549</v>
      </c>
      <c r="E9" s="148">
        <v>5159</v>
      </c>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f>[1]!FP1220IDEA</f>
        <v>39254</v>
      </c>
      <c r="E12" s="148">
        <v>45401</v>
      </c>
      <c r="F12" s="117">
        <v>8</v>
      </c>
      <c r="G12" s="157">
        <v>8</v>
      </c>
      <c r="H12" s="271" t="s">
        <v>270</v>
      </c>
      <c r="I12" s="271"/>
      <c r="J12" s="292"/>
      <c r="K12" s="154"/>
      <c r="M12" s="294">
        <f>SUM(M5:M11)</f>
        <v>53562</v>
      </c>
      <c r="N12" s="294">
        <f>SUM(N5:N11)</f>
        <v>53563</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f>[1]!IIPTeacherCompensationIncreases</f>
        <v>0</v>
      </c>
      <c r="N18" s="149"/>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0</v>
      </c>
      <c r="N19" s="149"/>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9660</v>
      </c>
      <c r="N20" s="149">
        <v>10380</v>
      </c>
      <c r="O20" s="153" t="s">
        <v>107</v>
      </c>
      <c r="P20" s="113"/>
      <c r="Q20" s="113"/>
      <c r="R20" s="274"/>
      <c r="S20" s="274"/>
      <c r="T20" s="113"/>
      <c r="U20" s="113"/>
      <c r="V20" s="113"/>
      <c r="W20" s="113"/>
      <c r="X20" s="113"/>
    </row>
    <row r="21" spans="1:24" ht="12" customHeight="1" thickBot="1">
      <c r="A21" s="153">
        <v>17</v>
      </c>
      <c r="B21" s="154" t="s">
        <v>71</v>
      </c>
      <c r="C21" s="154"/>
      <c r="D21" s="150">
        <f>[1]!FP13101399Other</f>
        <v>0</v>
      </c>
      <c r="E21" s="150">
        <v>10000</v>
      </c>
      <c r="F21" s="117">
        <v>17</v>
      </c>
      <c r="G21" s="153" t="s">
        <v>108</v>
      </c>
      <c r="H21" s="271" t="s">
        <v>237</v>
      </c>
      <c r="I21" s="271"/>
      <c r="J21" s="292"/>
      <c r="K21" s="293"/>
      <c r="M21" s="150">
        <f>[1]!IIPInstructionalImprovementPrograms</f>
        <v>0</v>
      </c>
      <c r="N21" s="150"/>
      <c r="O21" s="153" t="s">
        <v>108</v>
      </c>
      <c r="P21" s="113"/>
      <c r="Q21" s="113"/>
      <c r="R21" s="274"/>
      <c r="S21" s="274"/>
      <c r="T21" s="113"/>
      <c r="U21" s="113"/>
      <c r="V21" s="113"/>
      <c r="W21" s="113"/>
      <c r="X21" s="113"/>
    </row>
    <row r="22" spans="1:24" ht="12" customHeight="1" thickBot="1">
      <c r="A22" s="153">
        <v>18</v>
      </c>
      <c r="B22" s="155" t="s">
        <v>256</v>
      </c>
      <c r="C22" s="154"/>
      <c r="D22" s="152">
        <f>SUM(D5:D21)</f>
        <v>237389</v>
      </c>
      <c r="E22" s="152">
        <f>SUM(E5:E21)</f>
        <v>210289</v>
      </c>
      <c r="F22" s="117">
        <v>18</v>
      </c>
      <c r="G22" s="153" t="s">
        <v>109</v>
      </c>
      <c r="H22" s="158" t="s">
        <v>137</v>
      </c>
      <c r="I22" s="158"/>
      <c r="J22" s="154"/>
      <c r="K22" s="154"/>
      <c r="M22" s="152">
        <f>SUM(M18:M21)</f>
        <v>9660</v>
      </c>
      <c r="N22" s="152">
        <f>SUM(N18:N21)</f>
        <v>10380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22</v>
      </c>
      <c r="L26" s="57" t="s">
        <v>41</v>
      </c>
      <c r="N26" s="28">
        <v>7300</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25</v>
      </c>
      <c r="K27" s="154"/>
      <c r="L27" s="141" t="s">
        <v>42</v>
      </c>
      <c r="N27" s="28">
        <f>IIPDropoutPreventionPrograms+SP1000P100F1000+SP1000P200F1000+CSP1011P100F1000+CSP1012P100F1000+CSP1013P100F1000+117022</f>
        <v>764044</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v>5903</v>
      </c>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12</v>
      </c>
      <c r="O36" s="153">
        <v>1</v>
      </c>
      <c r="P36" s="113"/>
      <c r="Q36" s="113"/>
      <c r="R36" s="113"/>
      <c r="S36" s="113"/>
      <c r="T36" s="113"/>
      <c r="U36" s="113"/>
      <c r="V36" s="113"/>
      <c r="W36" s="113"/>
      <c r="X36" s="113"/>
    </row>
    <row r="37" spans="1:24" ht="12" customHeight="1" thickBot="1" thickTop="1">
      <c r="A37" s="272">
        <v>32</v>
      </c>
      <c r="B37" s="155" t="s">
        <v>306</v>
      </c>
      <c r="C37" s="154"/>
      <c r="D37" s="152">
        <f>D22+D36</f>
        <v>237389</v>
      </c>
      <c r="E37" s="152">
        <f>E22+E36</f>
        <v>210289</v>
      </c>
      <c r="F37" s="117">
        <v>32</v>
      </c>
      <c r="G37" s="153">
        <v>2</v>
      </c>
      <c r="H37" s="271" t="s">
        <v>332</v>
      </c>
      <c r="I37" s="271"/>
      <c r="J37" s="271"/>
      <c r="K37" s="271"/>
      <c r="L37" s="271"/>
      <c r="M37" s="271"/>
      <c r="N37" s="27">
        <v>12</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467644</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467644</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4957</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v>496</v>
      </c>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379</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5832</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9">
      <selection activeCell="K43" sqref="K43"/>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Phoenix Collegiate Academy High, LLC</v>
      </c>
      <c r="E1" s="69"/>
      <c r="F1" s="70" t="s">
        <v>54</v>
      </c>
      <c r="G1" s="41" t="str">
        <f>Cover!M1</f>
        <v>Maricopa</v>
      </c>
      <c r="H1" s="101"/>
      <c r="I1" s="101"/>
      <c r="J1" s="101"/>
      <c r="K1" s="70" t="s">
        <v>91</v>
      </c>
      <c r="L1" s="261" t="str">
        <f>Cover!R1</f>
        <v>078277000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10300</v>
      </c>
      <c r="G9" s="168">
        <v>2985</v>
      </c>
      <c r="H9" s="127"/>
      <c r="I9" s="127"/>
      <c r="J9" s="286">
        <f>[1]!CSP1011P100F1000</f>
        <v>16456</v>
      </c>
      <c r="K9" s="179">
        <f>SUM(F7:G9)</f>
        <v>13285</v>
      </c>
      <c r="L9" s="167">
        <f>IF(J9=0," ",(K9-J9)/J9)</f>
        <v>-0.193</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10300</v>
      </c>
      <c r="G12" s="108">
        <f>SUM(G7:G11)</f>
        <v>2985</v>
      </c>
      <c r="H12" s="298"/>
      <c r="I12" s="298"/>
      <c r="J12" s="176">
        <f>SUM(J8:J11)</f>
        <v>16456</v>
      </c>
      <c r="K12" s="176">
        <f>SUM(K8:K11)</f>
        <v>13285</v>
      </c>
      <c r="L12" s="163">
        <f>IF(J12=0," ",(K12-J12)/J12)</f>
        <v>-0.193</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10300</v>
      </c>
      <c r="G23" s="9">
        <f>G12+G17+G22</f>
        <v>2985</v>
      </c>
      <c r="H23" s="285"/>
      <c r="I23" s="285"/>
      <c r="J23" s="9">
        <f>J12+J17+J22</f>
        <v>16456</v>
      </c>
      <c r="K23" s="9">
        <f>K12+K17+K22</f>
        <v>13285</v>
      </c>
      <c r="L23" s="12">
        <f>IF(J23=0," ",(K23-J23)/J23)</f>
        <v>-0.193</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21600</v>
      </c>
      <c r="G26" s="175">
        <v>6260</v>
      </c>
      <c r="H26" s="301"/>
      <c r="I26" s="127"/>
      <c r="J26" s="286">
        <f>[1]!CSP1012P100F1000</f>
        <v>32912</v>
      </c>
      <c r="K26" s="179">
        <f>SUM(F24:G26)</f>
        <v>27860</v>
      </c>
      <c r="L26" s="12">
        <f>IF(J26=0," ",(K26-J26)/J26)</f>
        <v>-0.154</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21600</v>
      </c>
      <c r="G29" s="112">
        <f>SUM(G24:G28)</f>
        <v>6260</v>
      </c>
      <c r="H29" s="285"/>
      <c r="I29" s="285"/>
      <c r="J29" s="177">
        <f>SUM(J25:J28)</f>
        <v>32912</v>
      </c>
      <c r="K29" s="177">
        <f>SUM(K25:K28)</f>
        <v>27860</v>
      </c>
      <c r="L29" s="163">
        <f>IF(J29=0," ",(K29-J29)/J29)</f>
        <v>-0.154</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21600</v>
      </c>
      <c r="G40" s="10">
        <f>G29+G34+G39</f>
        <v>6260</v>
      </c>
      <c r="H40" s="127"/>
      <c r="I40" s="127"/>
      <c r="J40" s="10">
        <f>J29+J34+J39</f>
        <v>32912</v>
      </c>
      <c r="K40" s="10">
        <f>K29+K34+K39</f>
        <v>27860</v>
      </c>
      <c r="L40" s="12">
        <f>IF(J40=0," ",(K40-J40)/J40)</f>
        <v>-0.154</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20500</v>
      </c>
      <c r="G43" s="106">
        <v>5941</v>
      </c>
      <c r="H43" s="106"/>
      <c r="I43" s="168"/>
      <c r="J43" s="106">
        <f>[1]!CSP1013P100F1000</f>
        <v>0</v>
      </c>
      <c r="K43" s="108">
        <f>SUM(F43:I43)</f>
        <v>26441</v>
      </c>
      <c r="L43" s="167" t="str">
        <f>IF(J43=0," ",(K43-J43)/J43)</f>
        <v> </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20500</v>
      </c>
      <c r="G46" s="6">
        <f>SUM(G41:G45)</f>
        <v>5941</v>
      </c>
      <c r="H46" s="6">
        <f>SUM(H41:H45)</f>
        <v>0</v>
      </c>
      <c r="I46" s="6">
        <f>SUM(I41:I45)</f>
        <v>0</v>
      </c>
      <c r="J46" s="164">
        <f>SUM(J42:J45)</f>
        <v>0</v>
      </c>
      <c r="K46" s="164">
        <f>SUM(F46:I46)</f>
        <v>26441</v>
      </c>
      <c r="L46" s="163" t="str">
        <f>IF(J46=0," ",(K46-J46)/J46)</f>
        <v> </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32912</v>
      </c>
      <c r="K53" s="108">
        <f>SUM(F53:I53)</f>
        <v>0</v>
      </c>
      <c r="L53" s="167">
        <f>IF(J53=0," ",(K53-J53)/J53)</f>
        <v>-1</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20500</v>
      </c>
      <c r="G58" s="6">
        <f>G46+G51+G52+G53+G57</f>
        <v>5941</v>
      </c>
      <c r="H58" s="6">
        <f>H46+H51+H52+H53+H57</f>
        <v>0</v>
      </c>
      <c r="I58" s="6">
        <f>I46+I51+I52+I53+I57</f>
        <v>0</v>
      </c>
      <c r="J58" s="6">
        <f>J46+J51+J53+J57</f>
        <v>32912</v>
      </c>
      <c r="K58" s="6">
        <f>K46+K51+K53+K57</f>
        <v>26441</v>
      </c>
      <c r="L58" s="12">
        <f t="shared" si="0"/>
        <v>-0.197</v>
      </c>
      <c r="M58" s="91">
        <v>39</v>
      </c>
    </row>
    <row r="59" spans="1:13" ht="12.75">
      <c r="A59" s="139" t="s">
        <v>263</v>
      </c>
      <c r="B59" s="96"/>
      <c r="C59" s="96"/>
      <c r="D59" s="96"/>
      <c r="E59" s="22">
        <v>40</v>
      </c>
      <c r="F59" s="29">
        <f>F23+F40+F58</f>
        <v>52400</v>
      </c>
      <c r="G59" s="29">
        <f>G23+G40+G58</f>
        <v>15186</v>
      </c>
      <c r="H59" s="30">
        <f>H58</f>
        <v>0</v>
      </c>
      <c r="I59" s="30">
        <f>I58</f>
        <v>0</v>
      </c>
      <c r="J59" s="30">
        <f>J23+J40+J58</f>
        <v>82280</v>
      </c>
      <c r="K59" s="29">
        <f>SUM(F59:I59)</f>
        <v>67586</v>
      </c>
      <c r="L59" s="12">
        <f t="shared" si="0"/>
        <v>-0.179</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Phoenix Collegiate Academy High, LLC</v>
      </c>
      <c r="E1" s="368"/>
      <c r="F1" s="368"/>
      <c r="G1" s="69"/>
      <c r="H1" s="17"/>
      <c r="I1" s="70" t="s">
        <v>54</v>
      </c>
      <c r="J1" s="355" t="str">
        <f>Cover!M1</f>
        <v>Maricopa</v>
      </c>
      <c r="K1" s="355"/>
      <c r="L1" s="17"/>
      <c r="M1" s="70" t="s">
        <v>91</v>
      </c>
      <c r="N1" s="355" t="str">
        <f>Cover!R1</f>
        <v>078277000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1">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078277000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Phoenix Collegiate Academy High, LLC (d.b.a. Phoenix Collegiate Academy High) for fiscal year 2018 was officially proposed by the Governing Board on June 13, 2017. The complete budget may be reviewed by contacting Akshai Patel at 602-842-1722 or Apatel@phxca.org.</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462144</v>
      </c>
      <c r="E6" s="201">
        <f>SP1000P100F1000</f>
        <v>527956</v>
      </c>
      <c r="F6" s="221">
        <f>IF(D6=0," ",(E6-D6)/D6)</f>
        <v>0.142</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97796</v>
      </c>
      <c r="E8" s="238">
        <f>SP1000P100F2100</f>
        <v>81317</v>
      </c>
      <c r="F8" s="222">
        <f>IF(D8=0," ",(E8-D8)/D8)</f>
        <v>-0.169</v>
      </c>
      <c r="H8" s="214"/>
      <c r="I8" s="214"/>
      <c r="J8" s="214"/>
      <c r="K8" s="214"/>
    </row>
    <row r="9" spans="1:13" ht="12" customHeight="1">
      <c r="A9" s="218"/>
      <c r="C9" s="196" t="s">
        <v>196</v>
      </c>
      <c r="D9" s="200">
        <f>SP1000P100F2200CY</f>
        <v>104976</v>
      </c>
      <c r="E9" s="200">
        <f>SP1000P100F2200</f>
        <v>14807</v>
      </c>
      <c r="F9" s="225">
        <f>IF(D9=0," ",(E9-D9)/D9)</f>
        <v>-0.859</v>
      </c>
      <c r="H9" s="227"/>
      <c r="I9" s="217"/>
      <c r="J9" s="228"/>
      <c r="K9" s="383" t="s">
        <v>62</v>
      </c>
      <c r="L9" s="384"/>
      <c r="M9" s="210" t="s">
        <v>64</v>
      </c>
    </row>
    <row r="10" spans="1:13" ht="12" customHeight="1">
      <c r="A10" s="218"/>
      <c r="C10" s="196" t="s">
        <v>197</v>
      </c>
      <c r="D10" s="200">
        <f>SP1000P100F2300CY</f>
        <v>3800</v>
      </c>
      <c r="E10" s="200">
        <f>SP1000P100F2300</f>
        <v>0</v>
      </c>
      <c r="F10" s="221">
        <f aca="true" t="shared" si="0" ref="F10:F21">IF(D10=0," ",(E10-D10)/D10)</f>
        <v>-1</v>
      </c>
      <c r="H10" s="229" t="s">
        <v>209</v>
      </c>
      <c r="I10" s="233"/>
      <c r="J10" s="234"/>
      <c r="K10" s="210" t="s">
        <v>251</v>
      </c>
      <c r="L10" s="210" t="s">
        <v>56</v>
      </c>
      <c r="M10" s="219" t="s">
        <v>65</v>
      </c>
    </row>
    <row r="11" spans="1:13" ht="12" customHeight="1">
      <c r="A11" s="218"/>
      <c r="C11" s="196" t="s">
        <v>198</v>
      </c>
      <c r="D11" s="200">
        <f>SP1000P100F2400CY</f>
        <v>85000</v>
      </c>
      <c r="E11" s="200">
        <f>SP1000P100F2400</f>
        <v>93948</v>
      </c>
      <c r="F11" s="221">
        <f t="shared" si="0"/>
        <v>0.105</v>
      </c>
      <c r="H11" s="230"/>
      <c r="I11" s="235"/>
      <c r="J11" s="204"/>
      <c r="K11" s="199">
        <v>2017</v>
      </c>
      <c r="L11" s="199">
        <v>2018</v>
      </c>
      <c r="M11" s="220" t="s">
        <v>66</v>
      </c>
    </row>
    <row r="12" spans="1:13" ht="12" customHeight="1">
      <c r="A12" s="218"/>
      <c r="C12" s="196" t="s">
        <v>199</v>
      </c>
      <c r="D12" s="200">
        <f>SP1000P100F2500CY</f>
        <v>443716</v>
      </c>
      <c r="E12" s="200">
        <f>SP1000P100F2500</f>
        <v>445952</v>
      </c>
      <c r="F12" s="221">
        <f t="shared" si="0"/>
        <v>0.005</v>
      </c>
      <c r="H12" s="231" t="s">
        <v>271</v>
      </c>
      <c r="I12" s="197"/>
      <c r="J12" s="234"/>
      <c r="K12" s="201">
        <f>'Page 2'!M5</f>
        <v>53562</v>
      </c>
      <c r="L12" s="201">
        <f>'Page 2'!N5</f>
        <v>53563</v>
      </c>
      <c r="M12" s="221">
        <f aca="true" t="shared" si="1" ref="M12:M19">IF(K12=0," ",(L12-K12)/K12)</f>
        <v>0</v>
      </c>
    </row>
    <row r="13" spans="1:13" ht="12" customHeight="1">
      <c r="A13" s="218"/>
      <c r="C13" s="196" t="s">
        <v>200</v>
      </c>
      <c r="D13" s="200">
        <f>SP1000P100F2600CY</f>
        <v>64512</v>
      </c>
      <c r="E13" s="200">
        <f>SP1000P100F2600</f>
        <v>100946</v>
      </c>
      <c r="F13" s="221">
        <f t="shared" si="0"/>
        <v>0.565</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66532</v>
      </c>
      <c r="E15" s="200">
        <f>SP1000P100F3000</f>
        <v>60654</v>
      </c>
      <c r="F15" s="221">
        <f t="shared" si="0"/>
        <v>-0.088</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14004</v>
      </c>
      <c r="E19" s="200">
        <f>SP1000P620</f>
        <v>14004</v>
      </c>
      <c r="F19" s="221">
        <f t="shared" si="0"/>
        <v>0</v>
      </c>
      <c r="H19" s="385" t="s">
        <v>206</v>
      </c>
      <c r="I19" s="386"/>
      <c r="J19" s="386"/>
      <c r="K19" s="200">
        <f>SUM(K12:K18)</f>
        <v>53562</v>
      </c>
      <c r="L19" s="200">
        <f>SUM(L12:L18)</f>
        <v>53563</v>
      </c>
      <c r="M19" s="224">
        <f t="shared" si="1"/>
        <v>0</v>
      </c>
    </row>
    <row r="20" spans="1:13" ht="12" customHeight="1">
      <c r="A20" s="218" t="s">
        <v>78</v>
      </c>
      <c r="D20" s="200">
        <f>SP1000P630700800900CY</f>
        <v>0</v>
      </c>
      <c r="E20" s="200">
        <f>SP1000P630700800900</f>
        <v>0</v>
      </c>
      <c r="F20" s="221" t="str">
        <f t="shared" si="0"/>
        <v> </v>
      </c>
      <c r="H20" s="197"/>
      <c r="I20" s="197"/>
      <c r="K20" s="280"/>
      <c r="L20" s="280"/>
      <c r="M20" s="281"/>
    </row>
    <row r="21" spans="1:13" ht="12" customHeight="1">
      <c r="A21" s="223"/>
      <c r="B21" s="198" t="s">
        <v>202</v>
      </c>
      <c r="C21" s="204"/>
      <c r="D21" s="200">
        <f>SUM(D6:D20)</f>
        <v>1342480</v>
      </c>
      <c r="E21" s="200">
        <f>SUM(E6:E20)</f>
        <v>1339584</v>
      </c>
      <c r="F21" s="221">
        <f t="shared" si="0"/>
        <v>-0.002</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336</v>
      </c>
      <c r="E23" s="241">
        <f>SP1000P200F1000</f>
        <v>41100</v>
      </c>
      <c r="F23" s="222">
        <f>IF(D23=0," ",(E23-D23)/D23)</f>
        <v>121.321</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38226</v>
      </c>
      <c r="E25" s="201">
        <f>SP1000P200F2100</f>
        <v>10560</v>
      </c>
      <c r="F25" s="222">
        <f aca="true" t="shared" si="2" ref="F25:F41">IF(D25=0," ",(E25-D25)/D25)</f>
        <v>-0.724</v>
      </c>
      <c r="H25" s="218"/>
      <c r="J25" s="211" t="s">
        <v>251</v>
      </c>
      <c r="K25" s="211" t="s">
        <v>56</v>
      </c>
      <c r="L25" s="219" t="s">
        <v>65</v>
      </c>
      <c r="M25" s="281"/>
    </row>
    <row r="26" spans="1:13" ht="12" customHeight="1">
      <c r="A26" s="218"/>
      <c r="C26" s="196" t="s">
        <v>196</v>
      </c>
      <c r="D26" s="201">
        <f>SP1000P200F2200CY</f>
        <v>15000</v>
      </c>
      <c r="E26" s="201">
        <f>SP1000P200F2200</f>
        <v>0</v>
      </c>
      <c r="F26" s="225">
        <f t="shared" si="2"/>
        <v>-1</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1396042</v>
      </c>
      <c r="K27" s="201">
        <f>SP1000Total</f>
        <v>1393147</v>
      </c>
      <c r="L27" s="224">
        <f>IF(J27=0," ",(K27-J27)/J27)</f>
        <v>-0.002</v>
      </c>
      <c r="M27" s="281"/>
    </row>
    <row r="28" spans="1:13" ht="12" customHeight="1">
      <c r="A28" s="218"/>
      <c r="C28" s="196" t="s">
        <v>198</v>
      </c>
      <c r="D28" s="201">
        <f>SP1000P200F2400CY</f>
        <v>0</v>
      </c>
      <c r="E28" s="201">
        <f>SP1000P200F2400</f>
        <v>0</v>
      </c>
      <c r="F28" s="221" t="str">
        <f t="shared" si="2"/>
        <v> </v>
      </c>
      <c r="H28" s="226" t="s">
        <v>207</v>
      </c>
      <c r="I28" s="207"/>
      <c r="J28" s="200">
        <f>SP1000ClassSiteProjCY</f>
        <v>82280</v>
      </c>
      <c r="K28" s="200">
        <f>SP1000ClassSiteProj</f>
        <v>67586</v>
      </c>
      <c r="L28" s="224">
        <f aca="true" t="shared" si="3" ref="L28:L35">IF(J28=0," ",(K28-J28)/J28)</f>
        <v>-0.179</v>
      </c>
      <c r="M28" s="281"/>
    </row>
    <row r="29" spans="1:13" ht="12" customHeight="1">
      <c r="A29" s="218"/>
      <c r="C29" s="196" t="s">
        <v>199</v>
      </c>
      <c r="D29" s="201">
        <f>SP1000P200F2500CY</f>
        <v>0</v>
      </c>
      <c r="E29" s="201">
        <f>SP1000P200F2500</f>
        <v>0</v>
      </c>
      <c r="F29" s="221" t="str">
        <f t="shared" si="2"/>
        <v> </v>
      </c>
      <c r="H29" s="226" t="s">
        <v>217</v>
      </c>
      <c r="I29" s="207"/>
      <c r="J29" s="200">
        <f>SP1000InstrImpProjCY</f>
        <v>9660</v>
      </c>
      <c r="K29" s="200">
        <f>SP1000InstrImpProj</f>
        <v>10380</v>
      </c>
      <c r="L29" s="224">
        <f t="shared" si="3"/>
        <v>0.075</v>
      </c>
      <c r="M29" s="281"/>
    </row>
    <row r="30" spans="1:13" ht="12" customHeight="1">
      <c r="A30" s="218"/>
      <c r="C30" s="196" t="s">
        <v>200</v>
      </c>
      <c r="D30" s="201">
        <f>SP1000P200F2600CY</f>
        <v>0</v>
      </c>
      <c r="E30" s="201">
        <f>SP1000P200F2600</f>
        <v>1903</v>
      </c>
      <c r="F30" s="221" t="str">
        <f t="shared" si="2"/>
        <v> </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237389</v>
      </c>
      <c r="K32" s="200">
        <f>TotalFederalProjects</f>
        <v>210289</v>
      </c>
      <c r="L32" s="224">
        <f t="shared" si="3"/>
        <v>-0.114</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53562</v>
      </c>
      <c r="E35" s="213">
        <f>SUM(E23:E34)</f>
        <v>53563</v>
      </c>
      <c r="F35" s="221">
        <f t="shared" si="2"/>
        <v>0</v>
      </c>
      <c r="H35" s="226" t="s">
        <v>208</v>
      </c>
      <c r="I35" s="207"/>
      <c r="J35" s="200">
        <f>SUM(J27:J34)</f>
        <v>1725371</v>
      </c>
      <c r="K35" s="200">
        <f>SUM(K27:K34)</f>
        <v>1681402</v>
      </c>
      <c r="L35" s="224">
        <f t="shared" si="3"/>
        <v>-0.025</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0</v>
      </c>
      <c r="E37" s="200">
        <f>SP1000P400</f>
        <v>0</v>
      </c>
      <c r="F37" s="224" t="str">
        <f t="shared" si="2"/>
        <v> </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1396042</v>
      </c>
      <c r="E41" s="201">
        <f>SUM(E35:E40)+E21</f>
        <v>1393147</v>
      </c>
      <c r="F41" s="224">
        <f t="shared" si="2"/>
        <v>-0.002</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fitToHeight="1" fitToWidth="1" horizontalDpi="600" verticalDpi="600" orientation="landscape" scale="19"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Stephanie Gonzales</cp:lastModifiedBy>
  <cp:lastPrinted>2017-06-05T22:35:34Z</cp:lastPrinted>
  <dcterms:created xsi:type="dcterms:W3CDTF">1997-10-08T16:25:08Z</dcterms:created>
  <dcterms:modified xsi:type="dcterms:W3CDTF">2017-07-03T17:24:20Z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