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60" activeTab="6"/>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<sst xmlns="http://schemas.openxmlformats.org/spreadsheetml/2006/main" count="551" uniqueCount="349">
  <si>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</si>
  <si>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</si>
  <si>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</si>
  <si>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</si>
  <si>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</si>
  <si>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</si>
  <si>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</si>
  <si>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</si>
  <si>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</si>
  <si>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</si>
  <si>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</si>
  <si>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</si>
  <si>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</si>
  <si>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</si>
  <si>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</si>
  <si>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</si>
  <si>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</si>
  <si>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</si>
  <si>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</si>
  <si>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</si>
  <si>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</si>
  <si>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</si>
  <si>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</si>
  <si>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</si>
  <si>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</si>
  <si>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</si>
  <si>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</si>
  <si>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</si>
  <si>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</si>
  <si>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</si>
  <si>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</si>
  <si>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</si>
  <si>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</si>
  <si>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</si>
  <si>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</si>
  <si>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</si>
  <si>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</si>
  <si>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</si>
  <si>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</si>
  <si>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</si>
  <si>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</si>
  <si>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</si>
  <si>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</si>
  <si>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</si>
  <si>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</si>
  <si>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</si>
  <si>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</si>
  <si>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</si>
  <si>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</si>
  <si>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</si>
  <si>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</si>
  <si>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</si>
  <si>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</si>
  <si>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</si>
  <si>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</si>
  <si>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</si>
  <si>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</si>
  <si>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</si>
  <si>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</si>
  <si>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</si>
  <si>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</si>
  <si>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</si>
  <si>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</si>
  <si>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</si>
  <si>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</si>
  <si>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</si>
  <si>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</si>
  <si>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</si>
  <si>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</si>
  <si>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</si>
  <si>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</si>
  <si>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</si>
  <si>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</si>
  <si>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</si>
  <si>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</si>
  <si>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</si>
  <si>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</si>
  <si>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</si>
  <si>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</si>
  <si>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</si>
  <si>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</si>
  <si>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</si>
  <si>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</si>
  <si>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</si>
  <si>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</si>
  <si>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</si>
  <si>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</si>
  <si>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</si>
  <si>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</si>
  <si>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</si>
  <si>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</si>
  <si>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</si>
  <si>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</si>
  <si>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</si>
  <si>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</si>
  <si>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</si>
  <si>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</si>
  <si>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</si>
  <si>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</si>
  <si>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</si>
  <si>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</si>
  <si>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</si>
  <si>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</si>
  <si>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</si>
  <si>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</si>
  <si>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</si>
  <si>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</si>
  <si>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</si>
  <si>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</si>
  <si>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</si>
  <si>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</si>
  <si>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</si>
  <si>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</si>
  <si>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</si>
  <si>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</si>
  <si>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</si>
  <si>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</si>
  <si>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</si>
  <si>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</si>
  <si>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</si>
  <si>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</si>
  <si>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</si>
  <si>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</si>
  <si>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</si>
  <si>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</si>
  <si>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</si>
  <si>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</si>
  <si>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</si>
  <si>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</si>
  <si>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</si>
  <si>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</si>
  <si>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</si>
  <si>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</si>
  <si>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</si>
  <si>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</si>
  <si>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</si>
  <si>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</si>
  <si>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</si>
  <si>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</si>
  <si>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</si>
  <si>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</si>
  <si>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</si>
  <si>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</si>
  <si>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</si>
  <si>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</si>
  <si>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</si>
  <si>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</si>
  <si>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</si>
  <si>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</si>
  <si>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</si>
  <si>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</si>
  <si>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</si>
  <si>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</si>
  <si>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</si>
  <si>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</si>
  <si>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</si>
  <si>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</si>
  <si>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</si>
  <si>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</si>
  <si>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</si>
  <si>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</si>
  <si>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</si>
  <si>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</si>
  <si>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</si>
  <si>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</si>
  <si>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</si>
  <si>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</si>
  <si>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</si>
  <si>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</si>
  <si>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</si>
  <si>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</si>
  <si>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</si>
  <si>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</si>
  <si>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</si>
  <si>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</si>
  <si>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</si>
  <si>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</si>
  <si>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</si>
  <si>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</si>
  <si>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</si>
  <si>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</si>
  <si>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</si>
  <si>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</si>
  <si>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</si>
  <si>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</si>
  <si>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</si>
  <si>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</si>
  <si>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</si>
  <si>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</si>
  <si>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</si>
  <si>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</si>
  <si>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</si>
  <si>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</si>
  <si>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</si>
  <si>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</si>
  <si>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</si>
  <si>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</si>
  <si>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</si>
  <si>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</si>
  <si>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</si>
  <si>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</si>
  <si>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</si>
  <si>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</si>
  <si>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</si>
  <si>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</si>
  <si>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</si>
  <si>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</si>
  <si>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</si>
  <si>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</si>
  <si>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</si>
  <si>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</si>
  <si>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</si>
  <si>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</si>
  <si>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</si>
  <si>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</si>
  <si>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</si>
  <si>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</si>
  <si>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</si>
  <si>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</si>
  <si>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</si>
  <si>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</si>
  <si>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</si>
  <si>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</si>
  <si>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</si>
  <si>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</si>
  <si>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</si>
  <si>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</si>
  <si>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</si>
  <si>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</si>
  <si>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</si>
  <si>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</si>
  <si>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</si>
  <si>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</si>
  <si>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</si>
  <si>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</si>
  <si>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</si>
  <si>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</si>
  <si>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</si>
  <si>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</si>
  <si>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</si>
  <si>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</si>
  <si>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</si>
  <si>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</si>
  <si>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</si>
  <si>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</si>
  <si>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</si>
  <si>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</si>
  <si>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</si>
  <si>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</si>
  <si>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</si>
  <si>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</si>
  <si>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</si>
  <si>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</si>
  <si>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</si>
  <si>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</si>
  <si>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</si>
  <si>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</si>
  <si>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</si>
  <si>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</si>
  <si>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</si>
  <si>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</si>
  <si>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</si>
  <si>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</si>
  <si>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</si>
  <si>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</si>
  <si>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</si>
  <si>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</si>
  <si>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</si>
  <si>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</si>
  <si>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</si>
  <si>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</si>
  <si>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</si>
  <si>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</si>
  <si>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</si>
  <si>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</si>
  <si>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</si>
  <si>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</si>
  <si>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</si>
  <si>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</si>
  <si>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</si>
  <si>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</si>
  <si>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</si>
  <si>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</si>
  <si>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</si>
  <si>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</si>
  <si>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</si>
  <si>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</si>
  <si>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</si>
  <si>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</si>
  <si>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</si>
  <si>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</si>
  <si>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</si>
  <si>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</si>
  <si>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</si>
  <si>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</si>
  <si>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</si>
  <si>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</si>
  <si>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</si>
  <si>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</si>
  <si>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</si>
  <si>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</si>
  <si>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</si>
  <si>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</si>
  <si>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</si>
  <si>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</si>
  <si>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</si>
  <si>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</si>
  <si>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</si>
  <si>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</si>
  <si>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</si>
  <si>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</si>
  <si>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</si>
  <si>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</si>
  <si>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</si>
  <si>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</si>
  <si>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</si>
  <si>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</si>
  <si>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</si>
  <si>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</si>
  <si>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</si>
  <si>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</si>
  <si>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</si>
  <si>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</si>
  <si>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</si>
  <si>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</si>
  <si>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</si>
  <si>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</si>
  <si>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</si>
  <si>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</si>
  <si>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</si>
  <si>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</si>
  <si>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</si>
  <si>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</si>
  <si>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</si>
  <si>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</si>
  <si>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</si>
  <si>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</si>
  <si>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</si>
  <si>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</si>
  <si>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</si>
  <si>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Pima Prevention Partnership</t>
  </si>
  <si>
    <t>Pima Partnerhsip Academy</t>
  </si>
  <si>
    <t>Pima</t>
  </si>
  <si>
    <t>108799000</t>
  </si>
  <si>
    <t>Edith Garcia Macklin</t>
  </si>
  <si>
    <t>520-326-2528</t>
  </si>
  <si>
    <t>Egarciamacklin@thepartnership.com</t>
  </si>
  <si>
    <t>Claudina Douglas</t>
  </si>
  <si>
    <t>Edith  Garcia Macklin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</si>
</sst>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ont="1"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180975</xdr:rowOff>
    </xdr:to>
    <xdr:sp>
      <xdr:nvSpPr>
        <xdr:cNvPr id="1" name="Rectangle 7">
          <a:hlinkClick r:id="rId1"/>
        </xdr:cNvPr>
        <xdr:cNvSpPr>
          <a:spLocks/>
        </xdr:cNvSpPr>
      </xdr:nvSpPr>
      <xdr:spPr>
        <a:xfrm>
          <a:off x="257175" y="419100"/>
          <a:ext cx="98107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47625</xdr:rowOff>
    </xdr:from>
    <xdr:to>
      <xdr:col>4</xdr:col>
      <xdr:colOff>219075</xdr:colOff>
      <xdr:row>5</xdr:row>
      <xdr:rowOff>28575</xdr:rowOff>
    </xdr:to>
    <xdr:sp>
      <xdr:nvSpPr>
        <xdr:cNvPr id="1" name="Rectangle 5">
          <a:hlinkClick r:id="rId1"/>
        </xdr:cNvPr>
        <xdr:cNvSpPr>
          <a:spLocks/>
        </xdr:cNvSpPr>
      </xdr:nvSpPr>
      <xdr:spPr>
        <a:xfrm>
          <a:off x="2305050" y="381000"/>
          <a:ext cx="2609850" cy="2476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981238</v>
          </cell>
        </row>
      </sheetData>
      <sheetData sheetId="1">
        <row r="8">
          <cell r="L8">
            <v>214348</v>
          </cell>
        </row>
        <row r="10">
          <cell r="L10">
            <v>30201</v>
          </cell>
        </row>
        <row r="11">
          <cell r="L11">
            <v>10100</v>
          </cell>
        </row>
        <row r="12">
          <cell r="L12">
            <v>11050</v>
          </cell>
        </row>
        <row r="13">
          <cell r="L13">
            <v>116085</v>
          </cell>
        </row>
        <row r="14">
          <cell r="L14">
            <v>8673</v>
          </cell>
        </row>
        <row r="15">
          <cell r="L15">
            <v>162387</v>
          </cell>
        </row>
        <row r="16">
          <cell r="L16">
            <v>0</v>
          </cell>
        </row>
        <row r="17">
          <cell r="L17">
            <v>39227</v>
          </cell>
        </row>
        <row r="18">
          <cell r="L18">
            <v>0</v>
          </cell>
        </row>
        <row r="19">
          <cell r="L19">
            <v>0</v>
          </cell>
        </row>
        <row r="20">
          <cell r="L20">
            <v>0</v>
          </cell>
        </row>
        <row r="21">
          <cell r="L21">
            <v>0</v>
          </cell>
        </row>
        <row r="22">
          <cell r="L22">
            <v>500</v>
          </cell>
        </row>
        <row r="25">
          <cell r="L25">
            <v>1030</v>
          </cell>
        </row>
        <row r="27">
          <cell r="L27">
            <v>6330</v>
          </cell>
        </row>
        <row r="28">
          <cell r="L28">
            <v>22217</v>
          </cell>
        </row>
        <row r="29">
          <cell r="L29">
            <v>0</v>
          </cell>
        </row>
        <row r="30">
          <cell r="L30">
            <v>0</v>
          </cell>
        </row>
        <row r="31">
          <cell r="L31">
            <v>4000</v>
          </cell>
        </row>
        <row r="32">
          <cell r="L32">
            <v>12000</v>
          </cell>
        </row>
        <row r="33">
          <cell r="L33">
            <v>0</v>
          </cell>
        </row>
        <row r="34">
          <cell r="L34">
            <v>0</v>
          </cell>
        </row>
        <row r="35">
          <cell r="L35">
            <v>0</v>
          </cell>
        </row>
        <row r="36">
          <cell r="L36">
            <v>0</v>
          </cell>
        </row>
        <row r="39">
          <cell r="L39">
            <v>41555</v>
          </cell>
        </row>
        <row r="40">
          <cell r="L40">
            <v>0</v>
          </cell>
        </row>
        <row r="41">
          <cell r="L41">
            <v>0</v>
          </cell>
        </row>
        <row r="42">
          <cell r="L42">
            <v>0</v>
          </cell>
        </row>
        <row r="44">
          <cell r="L44">
            <v>162099</v>
          </cell>
        </row>
        <row r="45">
          <cell r="L45">
            <v>5558</v>
          </cell>
        </row>
        <row r="46">
          <cell r="L46">
            <v>0</v>
          </cell>
        </row>
        <row r="47">
          <cell r="L47">
            <v>0</v>
          </cell>
        </row>
        <row r="48">
          <cell r="L48">
            <v>140415</v>
          </cell>
        </row>
      </sheetData>
      <sheetData sheetId="2">
        <row r="5">
          <cell r="E5">
            <v>59271</v>
          </cell>
          <cell r="N5">
            <v>45577</v>
          </cell>
        </row>
        <row r="6">
          <cell r="E6">
            <v>0</v>
          </cell>
        </row>
        <row r="7">
          <cell r="E7">
            <v>59994</v>
          </cell>
        </row>
        <row r="12">
          <cell r="E12">
            <v>21150</v>
          </cell>
        </row>
        <row r="21">
          <cell r="E21">
            <v>0</v>
          </cell>
        </row>
        <row r="25">
          <cell r="N25">
            <v>5558</v>
          </cell>
        </row>
      </sheetData>
      <sheetData sheetId="3">
        <row r="9">
          <cell r="K9">
            <v>116797</v>
          </cell>
        </row>
        <row r="10">
          <cell r="K10">
            <v>0</v>
          </cell>
        </row>
        <row r="11">
          <cell r="K11">
            <v>0</v>
          </cell>
        </row>
        <row r="14">
          <cell r="K14">
            <v>0</v>
          </cell>
        </row>
        <row r="15">
          <cell r="K15">
            <v>0</v>
          </cell>
        </row>
        <row r="16">
          <cell r="K16">
            <v>0</v>
          </cell>
        </row>
        <row r="19">
          <cell r="K19">
            <v>0</v>
          </cell>
        </row>
        <row r="20">
          <cell r="K20">
            <v>0</v>
          </cell>
        </row>
        <row r="21">
          <cell r="K21">
            <v>0</v>
          </cell>
        </row>
        <row r="26">
          <cell r="K26">
            <v>8178</v>
          </cell>
        </row>
        <row r="27">
          <cell r="K27">
            <v>0</v>
          </cell>
        </row>
        <row r="28">
          <cell r="K28">
            <v>0</v>
          </cell>
        </row>
        <row r="31">
          <cell r="K31">
            <v>0</v>
          </cell>
        </row>
        <row r="32">
          <cell r="K32">
            <v>0</v>
          </cell>
        </row>
        <row r="33">
          <cell r="K33">
            <v>0</v>
          </cell>
        </row>
        <row r="36">
          <cell r="K36">
            <v>0</v>
          </cell>
        </row>
        <row r="37">
          <cell r="K37">
            <v>0</v>
          </cell>
        </row>
        <row r="38">
          <cell r="K38">
            <v>0</v>
          </cell>
        </row>
        <row r="43">
          <cell r="K43">
            <v>37124</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workbookViewId="0" topLeftCell="A1">
      <selection activeCell="F21" sqref="F21:H21"/>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7" t="s">
        <v>0</v>
      </c>
      <c r="B1" s="337"/>
      <c r="C1" s="337"/>
      <c r="D1" s="339" t="s">
        <v>340</v>
      </c>
      <c r="E1" s="340"/>
      <c r="F1" s="340"/>
      <c r="G1" s="340"/>
      <c r="H1" s="340"/>
      <c r="I1" s="340"/>
      <c r="J1" s="37"/>
      <c r="K1" s="18"/>
      <c r="L1" s="42" t="s">
        <v>1</v>
      </c>
      <c r="M1" s="344" t="s">
        <v>342</v>
      </c>
      <c r="N1" s="345"/>
      <c r="O1" s="342" t="s">
        <v>91</v>
      </c>
      <c r="P1" s="342"/>
      <c r="Q1" s="342"/>
      <c r="R1" s="255" t="s">
        <v>343</v>
      </c>
    </row>
    <row r="2" spans="4:18" ht="12.75" customHeight="1">
      <c r="D2" s="314" t="s">
        <v>89</v>
      </c>
      <c r="E2" s="314"/>
      <c r="F2" s="314"/>
      <c r="G2" s="314"/>
      <c r="H2" s="314"/>
      <c r="I2" s="314"/>
      <c r="M2" s="36"/>
      <c r="O2" s="43"/>
      <c r="P2" s="43"/>
      <c r="Q2" s="36"/>
      <c r="R2" s="39"/>
    </row>
    <row r="3" spans="4:18" ht="12.75" customHeight="1">
      <c r="D3" s="321" t="s">
        <v>341</v>
      </c>
      <c r="E3" s="322"/>
      <c r="F3" s="322"/>
      <c r="G3" s="322"/>
      <c r="H3" s="322"/>
      <c r="I3" s="322"/>
      <c r="M3" s="36"/>
      <c r="O3" s="43"/>
      <c r="P3" s="43"/>
      <c r="Q3" s="36"/>
      <c r="R3" s="39"/>
    </row>
    <row r="4" spans="4:18" ht="12.75" customHeight="1">
      <c r="D4" s="314" t="s">
        <v>90</v>
      </c>
      <c r="E4" s="314"/>
      <c r="F4" s="314"/>
      <c r="G4" s="314"/>
      <c r="H4" s="314"/>
      <c r="I4" s="314"/>
      <c r="M4" s="36"/>
      <c r="O4" s="43"/>
      <c r="P4" s="43"/>
      <c r="Q4" s="36"/>
      <c r="R4" s="39"/>
    </row>
    <row r="5" spans="13:18" ht="12.75" customHeight="1">
      <c r="M5" s="36"/>
      <c r="O5" s="43"/>
      <c r="P5" s="43"/>
      <c r="Q5" s="36"/>
      <c r="R5" s="39"/>
    </row>
    <row r="6" spans="1:10" ht="18" customHeight="1">
      <c r="A6" s="36"/>
      <c r="B6" s="338" t="s">
        <v>282</v>
      </c>
      <c r="C6" s="338"/>
      <c r="D6" s="338"/>
      <c r="E6" s="338"/>
      <c r="F6" s="338"/>
      <c r="G6" s="338"/>
      <c r="H6" s="338"/>
      <c r="I6" s="338"/>
      <c r="J6" s="36"/>
    </row>
    <row r="7" spans="1:10" ht="12.75">
      <c r="A7" s="36"/>
      <c r="B7" s="36"/>
      <c r="C7" s="36"/>
      <c r="D7" s="36"/>
      <c r="E7" s="36"/>
      <c r="F7" s="36"/>
      <c r="G7" s="36"/>
      <c r="H7" s="37"/>
      <c r="I7" s="37"/>
      <c r="J7" s="45"/>
    </row>
    <row r="8" spans="1:18" ht="18" customHeight="1">
      <c r="A8" s="36"/>
      <c r="B8" s="338" t="s">
        <v>2</v>
      </c>
      <c r="C8" s="338"/>
      <c r="D8" s="338"/>
      <c r="E8" s="338"/>
      <c r="F8" s="338"/>
      <c r="G8" s="338"/>
      <c r="H8" s="338"/>
      <c r="I8" s="338"/>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8" t="s">
        <v>3</v>
      </c>
      <c r="C10" s="328"/>
      <c r="D10" s="328"/>
      <c r="E10" s="328"/>
      <c r="F10" s="328"/>
      <c r="G10" s="328"/>
      <c r="H10" s="328"/>
      <c r="I10" s="328"/>
      <c r="J10" s="343"/>
      <c r="K10" s="248"/>
    </row>
    <row r="11" spans="1:18" ht="12.75" customHeight="1">
      <c r="A11" s="36"/>
      <c r="B11" s="328"/>
      <c r="C11" s="328"/>
      <c r="D11" s="328"/>
      <c r="E11" s="328"/>
      <c r="F11" s="328"/>
      <c r="G11" s="328"/>
      <c r="H11" s="328"/>
      <c r="I11" s="328"/>
      <c r="J11" s="343"/>
      <c r="K11" s="47" t="s">
        <v>44</v>
      </c>
      <c r="L11" s="330" t="s">
        <v>284</v>
      </c>
      <c r="M11" s="331"/>
      <c r="N11" s="331"/>
      <c r="O11" s="331"/>
      <c r="P11" s="331"/>
      <c r="Q11" s="48" t="s">
        <v>5</v>
      </c>
      <c r="R11" s="49">
        <f>'[1]Cover'!$R$19</f>
        <v>981238</v>
      </c>
    </row>
    <row r="12" spans="1:10" ht="12.75" customHeight="1">
      <c r="A12" s="36"/>
      <c r="B12" s="36"/>
      <c r="C12" s="36"/>
      <c r="D12" s="322" t="s">
        <v>83</v>
      </c>
      <c r="E12" s="322"/>
      <c r="F12" s="322"/>
      <c r="G12" s="322"/>
      <c r="H12" s="322"/>
      <c r="I12" s="37"/>
      <c r="J12" s="45"/>
    </row>
    <row r="13" spans="2:17" ht="12.75" customHeight="1">
      <c r="B13" s="335" t="s">
        <v>80</v>
      </c>
      <c r="C13" s="335"/>
      <c r="D13" s="336"/>
      <c r="E13" s="336"/>
      <c r="F13" s="336"/>
      <c r="G13" s="336"/>
      <c r="H13" s="336"/>
      <c r="I13" s="335"/>
      <c r="J13" s="50"/>
      <c r="K13" s="47" t="s">
        <v>45</v>
      </c>
      <c r="L13" s="329" t="s">
        <v>285</v>
      </c>
      <c r="M13" s="329"/>
      <c r="N13" s="329"/>
      <c r="O13" s="329"/>
      <c r="P13" s="329"/>
      <c r="Q13" s="329"/>
    </row>
    <row r="14" ht="12.75" customHeight="1">
      <c r="J14" s="50"/>
    </row>
    <row r="15" spans="1:18" ht="12.75" customHeight="1">
      <c r="A15" s="37"/>
      <c r="B15" s="37"/>
      <c r="C15" s="37"/>
      <c r="I15" s="37"/>
      <c r="J15" s="50"/>
      <c r="O15" s="44" t="s">
        <v>6</v>
      </c>
      <c r="P15" s="51" t="s">
        <v>7</v>
      </c>
      <c r="Q15" s="52" t="s">
        <v>5</v>
      </c>
      <c r="R15" s="53">
        <v>11685</v>
      </c>
    </row>
    <row r="16" spans="1:18" ht="12.75" customHeight="1">
      <c r="A16" s="38"/>
      <c r="B16" s="347" t="s">
        <v>81</v>
      </c>
      <c r="C16" s="347"/>
      <c r="D16" s="347"/>
      <c r="E16" s="347"/>
      <c r="F16" s="347"/>
      <c r="G16" s="347"/>
      <c r="H16" s="347"/>
      <c r="I16" s="347"/>
      <c r="J16" s="50"/>
      <c r="O16" s="44" t="s">
        <v>9</v>
      </c>
      <c r="P16" s="51" t="s">
        <v>10</v>
      </c>
      <c r="Q16" s="52" t="s">
        <v>5</v>
      </c>
      <c r="R16" s="49"/>
    </row>
    <row r="17" spans="10:18" ht="12.75" customHeight="1">
      <c r="J17" s="50"/>
      <c r="O17" s="44" t="s">
        <v>8</v>
      </c>
      <c r="P17" s="51" t="s">
        <v>69</v>
      </c>
      <c r="Q17" s="52" t="s">
        <v>5</v>
      </c>
      <c r="R17" s="54">
        <v>803728</v>
      </c>
    </row>
    <row r="18" spans="2:18" ht="12.75" customHeight="1">
      <c r="B18" s="37"/>
      <c r="C18" s="37"/>
      <c r="D18" s="37"/>
      <c r="E18" s="37"/>
      <c r="F18" s="37"/>
      <c r="G18" s="37"/>
      <c r="H18" s="37"/>
      <c r="I18" s="37"/>
      <c r="J18" s="50"/>
      <c r="O18" s="44" t="s">
        <v>11</v>
      </c>
      <c r="P18" s="51" t="s">
        <v>70</v>
      </c>
      <c r="Q18" s="52" t="s">
        <v>5</v>
      </c>
      <c r="R18" s="54">
        <v>176790</v>
      </c>
    </row>
    <row r="19" spans="2:18" ht="12.75" customHeight="1">
      <c r="B19" s="348" t="s">
        <v>283</v>
      </c>
      <c r="C19" s="347"/>
      <c r="D19" s="347"/>
      <c r="E19" s="347"/>
      <c r="F19" s="347"/>
      <c r="G19" s="347"/>
      <c r="H19" s="347"/>
      <c r="I19" s="347"/>
      <c r="J19" s="50"/>
      <c r="O19" s="35" t="s">
        <v>46</v>
      </c>
      <c r="Q19" s="52" t="s">
        <v>5</v>
      </c>
      <c r="R19" s="55">
        <f>SUM(R15:R18)</f>
        <v>992203</v>
      </c>
    </row>
    <row r="20" spans="3:10" ht="12.75" customHeight="1">
      <c r="C20" s="350" t="s">
        <v>82</v>
      </c>
      <c r="D20" s="350"/>
      <c r="F20" s="349">
        <v>42907</v>
      </c>
      <c r="G20" s="349"/>
      <c r="H20" s="349"/>
      <c r="J20" s="50"/>
    </row>
    <row r="21" spans="3:10" ht="12.75" customHeight="1">
      <c r="C21" s="350" t="s">
        <v>83</v>
      </c>
      <c r="D21" s="350"/>
      <c r="F21" s="346">
        <v>42928</v>
      </c>
      <c r="G21" s="346"/>
      <c r="H21" s="346"/>
      <c r="I21" s="18"/>
      <c r="J21" s="50"/>
    </row>
    <row r="22" spans="1:18" ht="12.75" customHeight="1">
      <c r="A22" s="39"/>
      <c r="C22" s="350" t="s">
        <v>84</v>
      </c>
      <c r="D22" s="350"/>
      <c r="F22" s="346"/>
      <c r="G22" s="346"/>
      <c r="H22" s="346"/>
      <c r="J22" s="56"/>
      <c r="L22" s="332"/>
      <c r="M22" s="332"/>
      <c r="N22" s="332"/>
      <c r="O22" s="332"/>
      <c r="P22" s="332"/>
      <c r="Q22" s="332"/>
      <c r="R22" s="332"/>
    </row>
    <row r="23" spans="6:21" ht="12.75" customHeight="1">
      <c r="F23" s="314" t="s">
        <v>85</v>
      </c>
      <c r="G23" s="314"/>
      <c r="H23" s="314"/>
      <c r="I23" s="18"/>
      <c r="J23" s="50"/>
      <c r="N23" s="333"/>
      <c r="O23" s="333"/>
      <c r="R23" s="334"/>
      <c r="S23" s="334"/>
      <c r="T23" s="334"/>
      <c r="U23" s="334"/>
    </row>
    <row r="24" spans="2:18" ht="12.75" customHeight="1">
      <c r="B24" s="57"/>
      <c r="E24" s="58"/>
      <c r="I24" s="18"/>
      <c r="J24" s="50"/>
      <c r="L24" s="17"/>
      <c r="M24" s="17"/>
      <c r="N24" s="17"/>
      <c r="O24" s="17"/>
      <c r="P24" s="17"/>
      <c r="Q24" s="17"/>
      <c r="R24" s="17"/>
    </row>
    <row r="25" spans="1:18" ht="12.75" customHeight="1">
      <c r="A25" s="351" t="s">
        <v>307</v>
      </c>
      <c r="B25" s="351"/>
      <c r="C25" s="351"/>
      <c r="D25" s="351"/>
      <c r="E25" s="351"/>
      <c r="F25" s="351"/>
      <c r="G25" s="351"/>
      <c r="H25" s="351"/>
      <c r="I25" s="351"/>
      <c r="J25" s="352"/>
      <c r="L25" s="325" t="s">
        <v>140</v>
      </c>
      <c r="M25" s="325"/>
      <c r="N25" s="325"/>
      <c r="O25" s="319" t="s">
        <v>344</v>
      </c>
      <c r="P25" s="320"/>
      <c r="Q25" s="320"/>
      <c r="R25" s="320"/>
    </row>
    <row r="26" spans="1:18" ht="12.75" customHeight="1">
      <c r="A26" s="351" t="s">
        <v>308</v>
      </c>
      <c r="B26" s="351"/>
      <c r="C26" s="351"/>
      <c r="D26" s="351"/>
      <c r="E26" s="351"/>
      <c r="F26" s="351"/>
      <c r="G26" s="351"/>
      <c r="H26" s="351"/>
      <c r="I26" s="351"/>
      <c r="J26" s="352"/>
      <c r="L26" s="59" t="s">
        <v>138</v>
      </c>
      <c r="M26" s="319" t="s">
        <v>345</v>
      </c>
      <c r="N26" s="320"/>
      <c r="O26" s="52" t="s">
        <v>139</v>
      </c>
      <c r="P26" s="326" t="s">
        <v>346</v>
      </c>
      <c r="Q26" s="327"/>
      <c r="R26" s="327"/>
    </row>
    <row r="27" spans="1:10" ht="12.75" customHeight="1">
      <c r="A27" s="351" t="s">
        <v>329</v>
      </c>
      <c r="B27" s="351"/>
      <c r="C27" s="351"/>
      <c r="D27" s="351"/>
      <c r="E27" s="351"/>
      <c r="F27" s="351"/>
      <c r="G27" s="351"/>
      <c r="H27" s="351"/>
      <c r="I27" s="351"/>
      <c r="J27" s="352"/>
    </row>
    <row r="28" spans="2:10" ht="12.75" customHeight="1">
      <c r="B28" s="38"/>
      <c r="C28" s="57"/>
      <c r="D28" s="61"/>
      <c r="E28" s="37"/>
      <c r="F28" s="39"/>
      <c r="G28" s="62"/>
      <c r="H28" s="60"/>
      <c r="I28" s="60"/>
      <c r="J28" s="46"/>
    </row>
    <row r="29" spans="1:18" ht="12.75" customHeight="1">
      <c r="A29" s="318"/>
      <c r="B29" s="318"/>
      <c r="C29" s="318"/>
      <c r="D29" s="318"/>
      <c r="E29" s="318"/>
      <c r="F29" s="38"/>
      <c r="G29" s="341"/>
      <c r="H29" s="341"/>
      <c r="I29" s="341"/>
      <c r="J29" s="46"/>
      <c r="L29" s="323" t="s">
        <v>295</v>
      </c>
      <c r="M29" s="324"/>
      <c r="N29" s="324"/>
      <c r="O29" s="324"/>
      <c r="P29" s="324"/>
      <c r="Q29" s="324"/>
      <c r="R29" s="324"/>
    </row>
    <row r="30" spans="1:18" ht="12.75" customHeight="1">
      <c r="A30" s="37"/>
      <c r="B30" s="37"/>
      <c r="C30" s="37"/>
      <c r="D30" s="37"/>
      <c r="E30" s="37"/>
      <c r="F30" s="37"/>
      <c r="G30" s="37"/>
      <c r="H30" s="60"/>
      <c r="I30" s="60"/>
      <c r="J30" s="46"/>
      <c r="L30" s="315">
        <v>42931</v>
      </c>
      <c r="M30" s="315"/>
      <c r="N30" s="316" t="s">
        <v>87</v>
      </c>
      <c r="O30" s="316"/>
      <c r="P30" s="316"/>
      <c r="Q30" s="316"/>
      <c r="R30" s="316"/>
    </row>
    <row r="31" spans="1:18" ht="12.75" customHeight="1">
      <c r="A31" s="318"/>
      <c r="B31" s="318"/>
      <c r="C31" s="318"/>
      <c r="D31" s="318"/>
      <c r="E31" s="318"/>
      <c r="F31" s="38"/>
      <c r="G31" s="341"/>
      <c r="H31" s="341"/>
      <c r="I31" s="341"/>
      <c r="J31" s="50"/>
      <c r="L31" s="37"/>
      <c r="M31" s="63"/>
      <c r="N31" s="63"/>
      <c r="O31" s="63"/>
      <c r="P31" s="63"/>
      <c r="Q31" s="63"/>
      <c r="R31" s="63"/>
    </row>
    <row r="32" spans="1:18" ht="12.75" customHeight="1">
      <c r="A32" s="40"/>
      <c r="B32" s="40"/>
      <c r="C32" s="40"/>
      <c r="D32" s="40"/>
      <c r="E32" s="40"/>
      <c r="F32" s="37"/>
      <c r="G32" s="40"/>
      <c r="H32" s="18"/>
      <c r="I32" s="18"/>
      <c r="J32" s="50"/>
      <c r="L32" s="317"/>
      <c r="M32" s="317"/>
      <c r="N32" s="317"/>
      <c r="O32" s="64"/>
      <c r="P32" s="65"/>
      <c r="Q32" s="65"/>
      <c r="R32" s="65"/>
    </row>
    <row r="33" spans="1:18" ht="12.75" customHeight="1">
      <c r="A33" s="318"/>
      <c r="B33" s="318"/>
      <c r="C33" s="318"/>
      <c r="D33" s="318"/>
      <c r="E33" s="318"/>
      <c r="F33" s="38"/>
      <c r="G33" s="341"/>
      <c r="H33" s="341"/>
      <c r="I33" s="341"/>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41"/>
      <c r="H35" s="341"/>
      <c r="I35" s="341"/>
      <c r="J35" s="66"/>
      <c r="L35" s="318"/>
      <c r="M35" s="318"/>
      <c r="N35" s="318"/>
      <c r="P35" s="318"/>
      <c r="Q35" s="318"/>
      <c r="R35" s="318"/>
    </row>
    <row r="36" spans="1:18" s="35" customFormat="1" ht="12.75" customHeight="1">
      <c r="A36" s="37"/>
      <c r="B36" s="37"/>
      <c r="C36" s="37"/>
      <c r="D36" s="60"/>
      <c r="E36" s="60"/>
      <c r="F36" s="60"/>
      <c r="G36" s="60"/>
      <c r="H36" s="67"/>
      <c r="I36" s="67"/>
      <c r="J36" s="66"/>
      <c r="L36" s="313" t="s">
        <v>253</v>
      </c>
      <c r="M36" s="314"/>
      <c r="N36" s="314"/>
      <c r="P36" s="313" t="s">
        <v>253</v>
      </c>
      <c r="Q36" s="314"/>
      <c r="R36" s="314"/>
    </row>
    <row r="37" spans="1:10" s="37" customFormat="1" ht="12.75" customHeight="1">
      <c r="A37" s="318"/>
      <c r="B37" s="318"/>
      <c r="C37" s="318"/>
      <c r="D37" s="318"/>
      <c r="E37" s="318"/>
      <c r="F37" s="38"/>
      <c r="G37" s="341"/>
      <c r="H37" s="341"/>
      <c r="I37" s="341"/>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41"/>
      <c r="H39" s="341"/>
      <c r="I39" s="341"/>
      <c r="J39" s="66"/>
      <c r="L39" s="321" t="s">
        <v>348</v>
      </c>
      <c r="M39" s="322"/>
      <c r="N39" s="322"/>
      <c r="O39" s="65"/>
      <c r="P39" s="321" t="s">
        <v>347</v>
      </c>
      <c r="Q39" s="322"/>
      <c r="R39" s="322"/>
    </row>
    <row r="40" spans="1:18" s="35" customFormat="1" ht="12.75" customHeight="1">
      <c r="A40" s="37"/>
      <c r="B40" s="37"/>
      <c r="C40" s="37"/>
      <c r="D40" s="60"/>
      <c r="E40" s="60"/>
      <c r="F40" s="60"/>
      <c r="G40" s="60"/>
      <c r="H40" s="67"/>
      <c r="I40" s="67"/>
      <c r="J40" s="66"/>
      <c r="L40" s="313" t="s">
        <v>255</v>
      </c>
      <c r="M40" s="314"/>
      <c r="N40" s="314"/>
      <c r="O40" s="65"/>
      <c r="P40" s="313" t="s">
        <v>255</v>
      </c>
      <c r="Q40" s="314"/>
      <c r="R40" s="314"/>
    </row>
    <row r="41" spans="1:18" s="37" customFormat="1" ht="12.75" customHeight="1">
      <c r="A41" s="318"/>
      <c r="B41" s="318"/>
      <c r="C41" s="318"/>
      <c r="D41" s="318"/>
      <c r="E41" s="318"/>
      <c r="F41" s="38"/>
      <c r="G41" s="341"/>
      <c r="H41" s="341"/>
      <c r="I41" s="341"/>
      <c r="J41" s="66"/>
      <c r="M41" s="65"/>
      <c r="N41" s="65"/>
      <c r="O41" s="65"/>
      <c r="P41" s="65"/>
      <c r="Q41" s="65"/>
      <c r="R41" s="65"/>
    </row>
    <row r="42" spans="1:18" s="35" customFormat="1" ht="12.75" customHeight="1">
      <c r="A42" s="314" t="s">
        <v>86</v>
      </c>
      <c r="B42" s="314"/>
      <c r="C42" s="314"/>
      <c r="D42" s="314"/>
      <c r="E42" s="314"/>
      <c r="F42" s="38"/>
      <c r="G42" s="314" t="s">
        <v>43</v>
      </c>
      <c r="H42" s="314"/>
      <c r="I42" s="314"/>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16">
      <selection activeCell="L49" sqref="L49"/>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Pima Prevention Partnership</v>
      </c>
      <c r="E1" s="353"/>
      <c r="F1" s="353"/>
      <c r="H1" s="70" t="s">
        <v>54</v>
      </c>
      <c r="I1" s="354" t="str">
        <f>Cover!M1</f>
        <v>Pima</v>
      </c>
      <c r="J1" s="354"/>
      <c r="L1" s="70" t="s">
        <v>91</v>
      </c>
      <c r="M1" s="355" t="str">
        <f>Cover!R1</f>
        <v>108799000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217343</v>
      </c>
      <c r="G8" s="106">
        <v>75157</v>
      </c>
      <c r="H8" s="106">
        <v>11600</v>
      </c>
      <c r="I8" s="106">
        <v>6060</v>
      </c>
      <c r="J8" s="168">
        <v>3000</v>
      </c>
      <c r="K8" s="170">
        <f>[1]!SP1000P100F1000</f>
        <v>214348</v>
      </c>
      <c r="L8" s="171">
        <f>SUM(F8:J8)</f>
        <v>313160</v>
      </c>
      <c r="M8" s="172">
        <f>IF(K8=0," ",(L8-K8)/K8)</f>
        <v>0.461</v>
      </c>
      <c r="N8" s="2">
        <v>1</v>
      </c>
    </row>
    <row r="9" spans="2:14" ht="12" customHeight="1">
      <c r="B9" s="17" t="s">
        <v>24</v>
      </c>
      <c r="E9" s="124"/>
      <c r="F9" s="128"/>
      <c r="G9" s="128"/>
      <c r="H9" s="128"/>
      <c r="I9" s="128"/>
      <c r="J9" s="130"/>
      <c r="K9" s="77"/>
      <c r="L9" s="77"/>
      <c r="M9" s="77"/>
      <c r="N9" s="2"/>
    </row>
    <row r="10" spans="2:14" ht="12" customHeight="1">
      <c r="B10" s="17" t="s">
        <v>131</v>
      </c>
      <c r="E10" s="124">
        <v>2</v>
      </c>
      <c r="F10" s="106">
        <v>19104</v>
      </c>
      <c r="G10" s="106">
        <v>6606</v>
      </c>
      <c r="H10" s="106">
        <v>6045</v>
      </c>
      <c r="I10" s="106">
        <v>3390</v>
      </c>
      <c r="J10" s="168">
        <v>1400</v>
      </c>
      <c r="K10" s="106">
        <f>[1]!SP1000P100F2100</f>
        <v>30201</v>
      </c>
      <c r="L10" s="108">
        <f>SUM(F10:J10)</f>
        <v>36545</v>
      </c>
      <c r="M10" s="167">
        <f>IF(K10=0," ",(L10-K10)/K10)</f>
        <v>0.21</v>
      </c>
      <c r="N10" s="2">
        <v>2</v>
      </c>
    </row>
    <row r="11" spans="2:14" ht="12" customHeight="1">
      <c r="B11" s="17" t="s">
        <v>149</v>
      </c>
      <c r="E11" s="124">
        <v>3</v>
      </c>
      <c r="F11" s="25"/>
      <c r="G11" s="25"/>
      <c r="H11" s="25">
        <v>3400</v>
      </c>
      <c r="I11" s="25">
        <v>5300</v>
      </c>
      <c r="J11" s="25"/>
      <c r="K11" s="25">
        <f>[1]!SP1000P100F2200</f>
        <v>10100</v>
      </c>
      <c r="L11" s="6">
        <f aca="true" t="shared" si="0" ref="L11:L23">SUM(F11:J11)</f>
        <v>8700</v>
      </c>
      <c r="M11" s="12">
        <f aca="true" t="shared" si="1" ref="M11:M23">IF(K11=0," ",(L11-K11)/K11)</f>
        <v>-0.139</v>
      </c>
      <c r="N11" s="91">
        <v>3</v>
      </c>
    </row>
    <row r="12" spans="2:14" ht="12" customHeight="1">
      <c r="B12" s="17" t="s">
        <v>25</v>
      </c>
      <c r="E12" s="124">
        <v>4</v>
      </c>
      <c r="F12" s="25"/>
      <c r="G12" s="25"/>
      <c r="H12" s="25">
        <v>2545</v>
      </c>
      <c r="I12" s="25">
        <v>800</v>
      </c>
      <c r="J12" s="25">
        <v>10000</v>
      </c>
      <c r="K12" s="26">
        <f>[1]!SP1000P100F2300</f>
        <v>11050</v>
      </c>
      <c r="L12" s="6">
        <f t="shared" si="0"/>
        <v>13345</v>
      </c>
      <c r="M12" s="12">
        <f t="shared" si="1"/>
        <v>0.208</v>
      </c>
      <c r="N12" s="91">
        <v>4</v>
      </c>
    </row>
    <row r="13" spans="2:14" ht="12" customHeight="1">
      <c r="B13" s="17" t="s">
        <v>26</v>
      </c>
      <c r="E13" s="124">
        <v>5</v>
      </c>
      <c r="F13" s="25">
        <v>34045</v>
      </c>
      <c r="G13" s="25">
        <v>11773</v>
      </c>
      <c r="H13" s="25">
        <v>9892</v>
      </c>
      <c r="I13" s="25">
        <v>3000</v>
      </c>
      <c r="J13" s="25">
        <v>200</v>
      </c>
      <c r="K13" s="26">
        <f>[1]!SP1000P100F2400</f>
        <v>116085</v>
      </c>
      <c r="L13" s="6">
        <f t="shared" si="0"/>
        <v>58910</v>
      </c>
      <c r="M13" s="12">
        <f t="shared" si="1"/>
        <v>-0.493</v>
      </c>
      <c r="N13" s="91">
        <v>5</v>
      </c>
    </row>
    <row r="14" spans="2:14" ht="12" customHeight="1">
      <c r="B14" s="17" t="s">
        <v>150</v>
      </c>
      <c r="E14" s="124">
        <v>6</v>
      </c>
      <c r="F14" s="25">
        <v>6347</v>
      </c>
      <c r="G14" s="25">
        <v>2195</v>
      </c>
      <c r="H14" s="25">
        <v>20455</v>
      </c>
      <c r="I14" s="25">
        <v>500</v>
      </c>
      <c r="J14" s="25">
        <v>120</v>
      </c>
      <c r="K14" s="26">
        <f>[1]!SP1000P100F2500</f>
        <v>8673</v>
      </c>
      <c r="L14" s="6">
        <f>SUM(F14:J14)</f>
        <v>29617</v>
      </c>
      <c r="M14" s="12">
        <f t="shared" si="1"/>
        <v>2.415</v>
      </c>
      <c r="N14" s="91">
        <v>6</v>
      </c>
    </row>
    <row r="15" spans="2:14" ht="12" customHeight="1">
      <c r="B15" s="17" t="s">
        <v>151</v>
      </c>
      <c r="E15" s="124">
        <v>7</v>
      </c>
      <c r="F15" s="25"/>
      <c r="G15" s="25"/>
      <c r="H15" s="25">
        <f>180142-H32</f>
        <v>170142</v>
      </c>
      <c r="I15" s="25">
        <v>1545</v>
      </c>
      <c r="J15" s="25">
        <v>433</v>
      </c>
      <c r="K15" s="26">
        <f>[1]!SP1000P100F2600</f>
        <v>162387</v>
      </c>
      <c r="L15" s="6">
        <f t="shared" si="0"/>
        <v>172120</v>
      </c>
      <c r="M15" s="12">
        <f t="shared" si="1"/>
        <v>0.06</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v>10000</v>
      </c>
      <c r="G17" s="25">
        <v>3458</v>
      </c>
      <c r="H17" s="25">
        <v>45000</v>
      </c>
      <c r="I17" s="25"/>
      <c r="J17" s="25"/>
      <c r="K17" s="26">
        <f>[1]!SP1000P100F3000</f>
        <v>39227</v>
      </c>
      <c r="L17" s="6">
        <f t="shared" si="0"/>
        <v>58458</v>
      </c>
      <c r="M17" s="12">
        <f t="shared" si="1"/>
        <v>0.49</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v>5000</v>
      </c>
      <c r="J22" s="25"/>
      <c r="K22" s="25">
        <f>[1]!SP1000P630700800900</f>
        <v>500</v>
      </c>
      <c r="L22" s="6">
        <f t="shared" si="0"/>
        <v>5000</v>
      </c>
      <c r="M22" s="12">
        <f t="shared" si="1"/>
        <v>9</v>
      </c>
      <c r="N22" s="91">
        <v>14</v>
      </c>
    </row>
    <row r="23" spans="1:14" ht="12" customHeight="1">
      <c r="A23" s="31"/>
      <c r="B23" s="31" t="s">
        <v>144</v>
      </c>
      <c r="C23" s="31"/>
      <c r="D23" s="31"/>
      <c r="E23" s="23">
        <v>15</v>
      </c>
      <c r="F23" s="6">
        <f>SUM(F7:F22)</f>
        <v>286839</v>
      </c>
      <c r="G23" s="6">
        <f>SUM(G7:G22)</f>
        <v>99189</v>
      </c>
      <c r="H23" s="6">
        <f>SUM(H7:H22)</f>
        <v>269079</v>
      </c>
      <c r="I23" s="6">
        <f>SUM(I7:I22)</f>
        <v>25595</v>
      </c>
      <c r="J23" s="6">
        <f>SUM(J7:J22)</f>
        <v>15153</v>
      </c>
      <c r="K23" s="164">
        <f>SUM(K8:K22)</f>
        <v>592571</v>
      </c>
      <c r="L23" s="164">
        <f t="shared" si="0"/>
        <v>695855</v>
      </c>
      <c r="M23" s="12">
        <f t="shared" si="1"/>
        <v>0.174</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c r="G25" s="106"/>
      <c r="H25" s="106"/>
      <c r="I25" s="106">
        <v>1030</v>
      </c>
      <c r="J25" s="168"/>
      <c r="K25" s="106">
        <f>[1]!SP1000P200F1000</f>
        <v>1030</v>
      </c>
      <c r="L25" s="108">
        <f>SUM(F25:J25)</f>
        <v>1030</v>
      </c>
      <c r="M25" s="237">
        <f>IF(K25=0," ",(L25-K25)/K25)</f>
        <v>0</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5000</v>
      </c>
      <c r="G27" s="106">
        <v>1729</v>
      </c>
      <c r="H27" s="106">
        <v>14395</v>
      </c>
      <c r="I27" s="106">
        <v>206</v>
      </c>
      <c r="J27" s="168"/>
      <c r="K27" s="106">
        <f>[1]!SP1000P200F2100</f>
        <v>6330</v>
      </c>
      <c r="L27" s="108">
        <f>SUM(F27:J27)</f>
        <v>21330</v>
      </c>
      <c r="M27" s="237">
        <f>IF(K27=0," ",(L27-K27)/K27)</f>
        <v>2.37</v>
      </c>
      <c r="N27" s="91">
        <v>17</v>
      </c>
    </row>
    <row r="28" spans="2:14" ht="12" customHeight="1">
      <c r="B28" s="17" t="s">
        <v>149</v>
      </c>
      <c r="E28" s="21">
        <v>18</v>
      </c>
      <c r="F28" s="25"/>
      <c r="G28" s="25"/>
      <c r="H28" s="25">
        <v>15000</v>
      </c>
      <c r="I28" s="25">
        <v>500</v>
      </c>
      <c r="J28" s="25"/>
      <c r="K28" s="25">
        <f>[1]!SP1000P200F2200</f>
        <v>22217</v>
      </c>
      <c r="L28" s="6">
        <f aca="true" t="shared" si="2" ref="L28:L42">SUM(F28:J28)</f>
        <v>15500</v>
      </c>
      <c r="M28" s="131">
        <f aca="true" t="shared" si="3" ref="M28:M48">IF(K28=0," ",(L28-K28)/K28)</f>
        <v>-0.302</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v>0</v>
      </c>
      <c r="I31" s="25"/>
      <c r="J31" s="25"/>
      <c r="K31" s="26">
        <f>[1]!SP1000P200F2500</f>
        <v>4000</v>
      </c>
      <c r="L31" s="6">
        <f>SUM(F31:J31)</f>
        <v>0</v>
      </c>
      <c r="M31" s="12">
        <f t="shared" si="3"/>
        <v>-1</v>
      </c>
      <c r="N31" s="91">
        <v>21</v>
      </c>
    </row>
    <row r="32" spans="2:14" ht="12" customHeight="1">
      <c r="B32" s="17" t="s">
        <v>151</v>
      </c>
      <c r="E32" s="21">
        <v>22</v>
      </c>
      <c r="F32" s="25"/>
      <c r="G32" s="25"/>
      <c r="H32" s="25">
        <v>10000</v>
      </c>
      <c r="I32" s="25"/>
      <c r="J32" s="25"/>
      <c r="K32" s="26">
        <f>[1]!SP1000P200F2600</f>
        <v>12000</v>
      </c>
      <c r="L32" s="6">
        <f t="shared" si="2"/>
        <v>10000</v>
      </c>
      <c r="M32" s="12">
        <f t="shared" si="3"/>
        <v>-0.167</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5000</v>
      </c>
      <c r="G37" s="20">
        <f>SUM(G24:G36)</f>
        <v>1729</v>
      </c>
      <c r="H37" s="20">
        <f>SUM(H24:H36)</f>
        <v>39395</v>
      </c>
      <c r="I37" s="20">
        <f>SUM(I24:I36)</f>
        <v>1736</v>
      </c>
      <c r="J37" s="20">
        <f>SUM(J24:J36)</f>
        <v>0</v>
      </c>
      <c r="K37" s="20">
        <f>SUM(K25:K36)</f>
        <v>45577</v>
      </c>
      <c r="L37" s="20">
        <f t="shared" si="2"/>
        <v>47860</v>
      </c>
      <c r="M37" s="131">
        <f t="shared" si="3"/>
        <v>0.05</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v>51200</v>
      </c>
      <c r="I39" s="25"/>
      <c r="J39" s="25"/>
      <c r="K39" s="25">
        <f>[1]!SP1000P400</f>
        <v>41555</v>
      </c>
      <c r="L39" s="6">
        <f t="shared" si="2"/>
        <v>51200</v>
      </c>
      <c r="M39" s="12">
        <f t="shared" si="3"/>
        <v>0.232</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291839</v>
      </c>
      <c r="G43" s="6">
        <f t="shared" si="4"/>
        <v>100918</v>
      </c>
      <c r="H43" s="6">
        <f t="shared" si="4"/>
        <v>359674</v>
      </c>
      <c r="I43" s="6">
        <f t="shared" si="4"/>
        <v>27331</v>
      </c>
      <c r="J43" s="6">
        <f t="shared" si="4"/>
        <v>15153</v>
      </c>
      <c r="K43" s="6">
        <f t="shared" si="4"/>
        <v>679703</v>
      </c>
      <c r="L43" s="6">
        <f>SUM(F43:J43)</f>
        <v>794915</v>
      </c>
      <c r="M43" s="12">
        <f t="shared" si="3"/>
        <v>0.17</v>
      </c>
      <c r="N43" s="91">
        <v>32</v>
      </c>
    </row>
    <row r="44" spans="1:14" ht="12" customHeight="1">
      <c r="A44" s="137" t="s">
        <v>265</v>
      </c>
      <c r="B44" s="31"/>
      <c r="C44" s="31"/>
      <c r="D44" s="31"/>
      <c r="E44" s="5">
        <v>33</v>
      </c>
      <c r="F44" s="6">
        <f>TotalCSP6100</f>
        <v>31569</v>
      </c>
      <c r="G44" s="6">
        <f>TotalCSP6200</f>
        <v>10916</v>
      </c>
      <c r="H44" s="6">
        <f>TotalCSP630064006500</f>
        <v>0</v>
      </c>
      <c r="I44" s="6">
        <f>TotalCSP6600</f>
        <v>0</v>
      </c>
      <c r="J44" s="127"/>
      <c r="K44" s="25">
        <f>[1]!SP1000ClassSiteProj</f>
        <v>162099</v>
      </c>
      <c r="L44" s="6">
        <f>SUM(F44:J44)</f>
        <v>42485</v>
      </c>
      <c r="M44" s="12">
        <f t="shared" si="3"/>
        <v>-0.738</v>
      </c>
      <c r="N44" s="91">
        <v>33</v>
      </c>
    </row>
    <row r="45" spans="1:14" ht="12" customHeight="1">
      <c r="A45" s="137" t="s">
        <v>266</v>
      </c>
      <c r="B45" s="31"/>
      <c r="C45" s="31"/>
      <c r="D45" s="31"/>
      <c r="E45" s="5">
        <v>34</v>
      </c>
      <c r="F45" s="127"/>
      <c r="G45" s="127"/>
      <c r="H45" s="127"/>
      <c r="I45" s="127"/>
      <c r="J45" s="127"/>
      <c r="K45" s="25">
        <f>[1]!SP1000InstrImpProj</f>
        <v>5558</v>
      </c>
      <c r="L45" s="6">
        <f>TotalInstructionalImprovement</f>
        <v>0</v>
      </c>
      <c r="M45" s="12">
        <f t="shared" si="3"/>
        <v>-1</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140415</v>
      </c>
      <c r="L48" s="6">
        <f>FederalandStateProjectsTotal</f>
        <v>128077</v>
      </c>
      <c r="M48" s="12">
        <f t="shared" si="3"/>
        <v>-0.088</v>
      </c>
      <c r="N48" s="91">
        <v>37</v>
      </c>
    </row>
    <row r="49" spans="1:14" ht="12" customHeight="1">
      <c r="A49" s="96"/>
      <c r="B49" s="137" t="s">
        <v>281</v>
      </c>
      <c r="C49" s="31"/>
      <c r="D49" s="31"/>
      <c r="E49" s="5">
        <v>38</v>
      </c>
      <c r="F49" s="13">
        <f>SUM(F43+F44+F46+F47)</f>
        <v>323408</v>
      </c>
      <c r="G49" s="13">
        <f>SUM(G43+G44+G46+G47)</f>
        <v>111834</v>
      </c>
      <c r="H49" s="13">
        <f>SUM(H43+H44+H46+H47)</f>
        <v>359674</v>
      </c>
      <c r="I49" s="13">
        <f>SUM(I43+I44+I46+I47)</f>
        <v>27331</v>
      </c>
      <c r="J49" s="13">
        <f>SUM(J43+J46+J47)</f>
        <v>15153</v>
      </c>
      <c r="K49" s="10">
        <f>SUM(K43:K48)</f>
        <v>987775</v>
      </c>
      <c r="L49" s="10">
        <f>SUM(L43:L48)</f>
        <v>965477</v>
      </c>
      <c r="M49" s="12">
        <f>IF(K49=0," ",(L49-K49)/K49)</f>
        <v>-0.023</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4">
      <selection activeCell="N28" sqref="N28"/>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Pima Prevention Partnership</v>
      </c>
      <c r="D1" s="359"/>
      <c r="E1" s="359"/>
      <c r="F1" s="359"/>
      <c r="H1" s="114" t="s">
        <v>1</v>
      </c>
      <c r="I1" s="360" t="str">
        <f>Cover!M1</f>
        <v>Pima</v>
      </c>
      <c r="J1" s="361"/>
      <c r="K1" s="361"/>
      <c r="M1" s="48" t="s">
        <v>91</v>
      </c>
      <c r="N1" s="262" t="str">
        <f>Cover!R1</f>
        <v>108799000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2" t="s">
        <v>74</v>
      </c>
      <c r="B3" s="342"/>
      <c r="C3" s="34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f>[1]!FP11001130TitleI</f>
        <v>59271</v>
      </c>
      <c r="E5" s="148">
        <v>58109</v>
      </c>
      <c r="F5" s="117">
        <v>1</v>
      </c>
      <c r="G5" s="157">
        <v>1</v>
      </c>
      <c r="H5" s="271" t="s">
        <v>271</v>
      </c>
      <c r="I5" s="271"/>
      <c r="J5" s="292"/>
      <c r="K5" s="154"/>
      <c r="M5" s="149">
        <f>'[1]Page 2'!$N$5</f>
        <v>45577</v>
      </c>
      <c r="N5" s="149">
        <f>'Page 1'!L37</f>
        <v>47860</v>
      </c>
      <c r="O5" s="32">
        <v>1</v>
      </c>
      <c r="P5" s="113"/>
      <c r="Q5" s="113"/>
      <c r="R5" s="274"/>
      <c r="S5" s="274"/>
      <c r="T5" s="113"/>
      <c r="U5" s="113"/>
      <c r="V5" s="113"/>
      <c r="W5" s="113"/>
      <c r="X5" s="113"/>
    </row>
    <row r="6" spans="1:24" ht="12" customHeight="1">
      <c r="A6" s="153">
        <v>2</v>
      </c>
      <c r="B6" s="155" t="s">
        <v>184</v>
      </c>
      <c r="C6" s="154"/>
      <c r="D6" s="148">
        <f>[1]!FP11401150TitleII</f>
        <v>0</v>
      </c>
      <c r="E6" s="148">
        <v>790</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59994</v>
      </c>
      <c r="E7" s="148">
        <v>48178</v>
      </c>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21150</v>
      </c>
      <c r="E12" s="148">
        <v>21000</v>
      </c>
      <c r="F12" s="117">
        <v>8</v>
      </c>
      <c r="G12" s="157">
        <v>8</v>
      </c>
      <c r="H12" s="271" t="s">
        <v>270</v>
      </c>
      <c r="I12" s="271"/>
      <c r="J12" s="292"/>
      <c r="K12" s="154"/>
      <c r="M12" s="294">
        <f>SUM(M5:M11)</f>
        <v>45577</v>
      </c>
      <c r="N12" s="294">
        <f>SUM(N5:N11)</f>
        <v>47860</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c r="F21" s="117">
        <v>17</v>
      </c>
      <c r="G21" s="153" t="s">
        <v>108</v>
      </c>
      <c r="H21" s="271" t="s">
        <v>237</v>
      </c>
      <c r="I21" s="271"/>
      <c r="J21" s="292"/>
      <c r="K21" s="293"/>
      <c r="M21" s="150">
        <f>[1]!IIPInstructionalImprovementPrograms</f>
        <v>5558</v>
      </c>
      <c r="N21" s="150"/>
      <c r="O21" s="153" t="s">
        <v>108</v>
      </c>
      <c r="P21" s="113"/>
      <c r="Q21" s="113"/>
      <c r="R21" s="274"/>
      <c r="S21" s="274"/>
      <c r="T21" s="113"/>
      <c r="U21" s="113"/>
      <c r="V21" s="113"/>
      <c r="W21" s="113"/>
      <c r="X21" s="113"/>
    </row>
    <row r="22" spans="1:24" ht="12" customHeight="1" thickBot="1">
      <c r="A22" s="153">
        <v>18</v>
      </c>
      <c r="B22" s="155" t="s">
        <v>256</v>
      </c>
      <c r="C22" s="154"/>
      <c r="D22" s="152">
        <f>SUM(D5:D21)</f>
        <v>140415</v>
      </c>
      <c r="E22" s="152">
        <f>SUM(E5:E21)</f>
        <v>128077</v>
      </c>
      <c r="F22" s="117">
        <v>18</v>
      </c>
      <c r="G22" s="153" t="s">
        <v>109</v>
      </c>
      <c r="H22" s="158" t="s">
        <v>137</v>
      </c>
      <c r="I22" s="158"/>
      <c r="J22" s="154"/>
      <c r="K22" s="154"/>
      <c r="M22" s="152">
        <f>SUM(M18:M21)</f>
        <v>5558</v>
      </c>
      <c r="N22" s="152">
        <f>SUM(N18:N21)</f>
        <v>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25</v>
      </c>
      <c r="L26" s="57" t="s">
        <v>41</v>
      </c>
      <c r="N26" s="28">
        <v>9955</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20</v>
      </c>
      <c r="K27" s="154"/>
      <c r="L27" s="141" t="s">
        <v>42</v>
      </c>
      <c r="N27" s="28">
        <f>SP1000P100F1000+SP1000P200F1000+48000+40000+10000</f>
        <v>412190</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v>5458</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6</v>
      </c>
      <c r="O36" s="153">
        <v>1</v>
      </c>
      <c r="P36" s="113"/>
      <c r="Q36" s="113"/>
      <c r="R36" s="113"/>
      <c r="S36" s="113"/>
      <c r="T36" s="113"/>
      <c r="U36" s="113"/>
      <c r="V36" s="113"/>
      <c r="W36" s="113"/>
      <c r="X36" s="113"/>
    </row>
    <row r="37" spans="1:24" ht="12" customHeight="1" thickBot="1" thickTop="1">
      <c r="A37" s="272">
        <v>32</v>
      </c>
      <c r="B37" s="155" t="s">
        <v>306</v>
      </c>
      <c r="C37" s="154"/>
      <c r="D37" s="152">
        <f>D22+D36</f>
        <v>140415</v>
      </c>
      <c r="E37" s="152">
        <f>E22+E36</f>
        <v>128077</v>
      </c>
      <c r="F37" s="117">
        <v>32</v>
      </c>
      <c r="G37" s="153">
        <v>2</v>
      </c>
      <c r="H37" s="271" t="s">
        <v>332</v>
      </c>
      <c r="I37" s="271"/>
      <c r="J37" s="271"/>
      <c r="K37" s="271"/>
      <c r="L37" s="271"/>
      <c r="M37" s="271"/>
      <c r="N37" s="27">
        <v>6</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242328</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242328</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2569</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282</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197</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3048</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
      <selection activeCell="H50" sqref="H50"/>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Pima Prevention Partnership</v>
      </c>
      <c r="E1" s="69"/>
      <c r="F1" s="70" t="s">
        <v>54</v>
      </c>
      <c r="G1" s="41" t="str">
        <f>Cover!M1</f>
        <v>Pima</v>
      </c>
      <c r="H1" s="101"/>
      <c r="I1" s="101"/>
      <c r="J1" s="101"/>
      <c r="K1" s="70" t="s">
        <v>91</v>
      </c>
      <c r="L1" s="261" t="str">
        <f>Cover!R1</f>
        <v>108799000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4555</v>
      </c>
      <c r="G9" s="168">
        <v>1575</v>
      </c>
      <c r="H9" s="127"/>
      <c r="I9" s="127"/>
      <c r="J9" s="286">
        <f>[1]!CSP1011P100F1000</f>
        <v>116797</v>
      </c>
      <c r="K9" s="179">
        <f>SUM(F7:G9)</f>
        <v>6130</v>
      </c>
      <c r="L9" s="167">
        <f>IF(J9=0," ",(K9-J9)/J9)</f>
        <v>-0.948</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4555</v>
      </c>
      <c r="G12" s="108">
        <f>SUM(G7:G11)</f>
        <v>1575</v>
      </c>
      <c r="H12" s="298"/>
      <c r="I12" s="298"/>
      <c r="J12" s="176">
        <f>SUM(J8:J11)</f>
        <v>116797</v>
      </c>
      <c r="K12" s="176">
        <f>SUM(K8:K11)</f>
        <v>6130</v>
      </c>
      <c r="L12" s="163">
        <f>IF(J12=0," ",(K12-J12)/J12)</f>
        <v>-0.948</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4555</v>
      </c>
      <c r="G23" s="9">
        <f>G12+G17+G22</f>
        <v>1575</v>
      </c>
      <c r="H23" s="285"/>
      <c r="I23" s="285"/>
      <c r="J23" s="9">
        <f>J12+J17+J22</f>
        <v>116797</v>
      </c>
      <c r="K23" s="9">
        <f>K12+K17+K22</f>
        <v>6130</v>
      </c>
      <c r="L23" s="12">
        <f>IF(J23=0," ",(K23-J23)/J23)</f>
        <v>-0.948</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15000</v>
      </c>
      <c r="G26" s="175">
        <v>5187</v>
      </c>
      <c r="H26" s="301"/>
      <c r="I26" s="127"/>
      <c r="J26" s="286">
        <f>[1]!CSP1012P100F1000</f>
        <v>8178</v>
      </c>
      <c r="K26" s="179">
        <f>SUM(F24:G26)</f>
        <v>20187</v>
      </c>
      <c r="L26" s="12">
        <f>IF(J26=0," ",(K26-J26)/J26)</f>
        <v>1.468</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15000</v>
      </c>
      <c r="G29" s="112">
        <f>SUM(G24:G28)</f>
        <v>5187</v>
      </c>
      <c r="H29" s="285"/>
      <c r="I29" s="285"/>
      <c r="J29" s="177">
        <f>SUM(J25:J28)</f>
        <v>8178</v>
      </c>
      <c r="K29" s="177">
        <f>SUM(K25:K28)</f>
        <v>20187</v>
      </c>
      <c r="L29" s="163">
        <f>IF(J29=0," ",(K29-J29)/J29)</f>
        <v>1.468</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15000</v>
      </c>
      <c r="G40" s="10">
        <f>G29+G34+G39</f>
        <v>5187</v>
      </c>
      <c r="H40" s="127"/>
      <c r="I40" s="127"/>
      <c r="J40" s="10">
        <f>J29+J34+J39</f>
        <v>8178</v>
      </c>
      <c r="K40" s="10">
        <f>K29+K34+K39</f>
        <v>20187</v>
      </c>
      <c r="L40" s="12">
        <f>IF(J40=0," ",(K40-J40)/J40)</f>
        <v>1.468</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12014</v>
      </c>
      <c r="G43" s="106">
        <v>4154</v>
      </c>
      <c r="H43" s="106"/>
      <c r="I43" s="168"/>
      <c r="J43" s="106">
        <f>[1]!CSP1013P100F1000</f>
        <v>37124</v>
      </c>
      <c r="K43" s="108">
        <f>SUM(F43:I43)</f>
        <v>16168</v>
      </c>
      <c r="L43" s="167">
        <f>IF(J43=0," ",(K43-J43)/J43)</f>
        <v>-0.564</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12014</v>
      </c>
      <c r="G46" s="6">
        <f>SUM(G41:G45)</f>
        <v>4154</v>
      </c>
      <c r="H46" s="6">
        <f>SUM(H41:H45)</f>
        <v>0</v>
      </c>
      <c r="I46" s="6">
        <f>SUM(I41:I45)</f>
        <v>0</v>
      </c>
      <c r="J46" s="164">
        <f>SUM(J42:J45)</f>
        <v>37124</v>
      </c>
      <c r="K46" s="164">
        <f>SUM(F46:I46)</f>
        <v>16168</v>
      </c>
      <c r="L46" s="163">
        <f>IF(J46=0," ",(K46-J46)/J46)</f>
        <v>-0.564</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12014</v>
      </c>
      <c r="G58" s="6">
        <f>G46+G51+G52+G53+G57</f>
        <v>4154</v>
      </c>
      <c r="H58" s="6">
        <f>H46+H51+H52+H53+H57</f>
        <v>0</v>
      </c>
      <c r="I58" s="6">
        <f>I46+I51+I52+I53+I57</f>
        <v>0</v>
      </c>
      <c r="J58" s="6">
        <f>J46+J51+J53+J57</f>
        <v>37124</v>
      </c>
      <c r="K58" s="6">
        <f>K46+K51+K53+K57</f>
        <v>16168</v>
      </c>
      <c r="L58" s="12">
        <f t="shared" si="0"/>
        <v>-0.564</v>
      </c>
      <c r="M58" s="91">
        <v>39</v>
      </c>
    </row>
    <row r="59" spans="1:13" ht="12.75">
      <c r="A59" s="139" t="s">
        <v>263</v>
      </c>
      <c r="B59" s="96"/>
      <c r="C59" s="96"/>
      <c r="D59" s="96"/>
      <c r="E59" s="22">
        <v>40</v>
      </c>
      <c r="F59" s="29">
        <f>F23+F40+F58</f>
        <v>31569</v>
      </c>
      <c r="G59" s="29">
        <f>G23+G40+G58</f>
        <v>10916</v>
      </c>
      <c r="H59" s="30">
        <f>H58</f>
        <v>0</v>
      </c>
      <c r="I59" s="30">
        <f>I58</f>
        <v>0</v>
      </c>
      <c r="J59" s="30">
        <f>J23+J40+J58</f>
        <v>162099</v>
      </c>
      <c r="K59" s="29">
        <f>SUM(F59:I59)</f>
        <v>42485</v>
      </c>
      <c r="L59" s="12">
        <f t="shared" si="0"/>
        <v>-0.738</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Pima Prevention Partnership</v>
      </c>
      <c r="E1" s="368"/>
      <c r="F1" s="368"/>
      <c r="G1" s="69"/>
      <c r="H1" s="17"/>
      <c r="I1" s="70" t="s">
        <v>54</v>
      </c>
      <c r="J1" s="355" t="str">
        <f>Cover!M1</f>
        <v>Pima</v>
      </c>
      <c r="K1" s="355"/>
      <c r="L1" s="17"/>
      <c r="M1" s="70" t="s">
        <v>91</v>
      </c>
      <c r="N1" s="355" t="str">
        <f>Cover!R1</f>
        <v>108799000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108799000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Pima Prevention Partnership (d.b.a. Pima Partnerhsip Academy) for fiscal year 2018 was officially proposed by the Governing Board on June 21, 2017. The complete budget may be reviewed by contacting Edith Garcia Macklin at 520-326-2528 or Egarciamacklin@thepartnership.com.</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214348</v>
      </c>
      <c r="E6" s="201">
        <f>SP1000P100F1000</f>
        <v>313160</v>
      </c>
      <c r="F6" s="221">
        <f>IF(D6=0," ",(E6-D6)/D6)</f>
        <v>0.461</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30201</v>
      </c>
      <c r="E8" s="238">
        <f>SP1000P100F2100</f>
        <v>36545</v>
      </c>
      <c r="F8" s="222">
        <f>IF(D8=0," ",(E8-D8)/D8)</f>
        <v>0.21</v>
      </c>
      <c r="H8" s="214"/>
      <c r="I8" s="214"/>
      <c r="J8" s="214"/>
      <c r="K8" s="214"/>
    </row>
    <row r="9" spans="1:13" ht="12" customHeight="1">
      <c r="A9" s="218"/>
      <c r="C9" s="196" t="s">
        <v>196</v>
      </c>
      <c r="D9" s="200">
        <f>SP1000P100F2200CY</f>
        <v>10100</v>
      </c>
      <c r="E9" s="200">
        <f>SP1000P100F2200</f>
        <v>8700</v>
      </c>
      <c r="F9" s="225">
        <f>IF(D9=0," ",(E9-D9)/D9)</f>
        <v>-0.139</v>
      </c>
      <c r="H9" s="227"/>
      <c r="I9" s="217"/>
      <c r="J9" s="228"/>
      <c r="K9" s="383" t="s">
        <v>62</v>
      </c>
      <c r="L9" s="384"/>
      <c r="M9" s="210" t="s">
        <v>64</v>
      </c>
    </row>
    <row r="10" spans="1:13" ht="12" customHeight="1">
      <c r="A10" s="218"/>
      <c r="C10" s="196" t="s">
        <v>197</v>
      </c>
      <c r="D10" s="200">
        <f>SP1000P100F2300CY</f>
        <v>11050</v>
      </c>
      <c r="E10" s="200">
        <f>SP1000P100F2300</f>
        <v>13345</v>
      </c>
      <c r="F10" s="221">
        <f aca="true" t="shared" si="0" ref="F10:F21">IF(D10=0," ",(E10-D10)/D10)</f>
        <v>0.208</v>
      </c>
      <c r="H10" s="229" t="s">
        <v>209</v>
      </c>
      <c r="I10" s="233"/>
      <c r="J10" s="234"/>
      <c r="K10" s="210" t="s">
        <v>251</v>
      </c>
      <c r="L10" s="210" t="s">
        <v>56</v>
      </c>
      <c r="M10" s="219" t="s">
        <v>65</v>
      </c>
    </row>
    <row r="11" spans="1:13" ht="12" customHeight="1">
      <c r="A11" s="218"/>
      <c r="C11" s="196" t="s">
        <v>198</v>
      </c>
      <c r="D11" s="200">
        <f>SP1000P100F2400CY</f>
        <v>116085</v>
      </c>
      <c r="E11" s="200">
        <f>SP1000P100F2400</f>
        <v>58910</v>
      </c>
      <c r="F11" s="221">
        <f t="shared" si="0"/>
        <v>-0.493</v>
      </c>
      <c r="H11" s="230"/>
      <c r="I11" s="235"/>
      <c r="J11" s="204"/>
      <c r="K11" s="199">
        <v>2017</v>
      </c>
      <c r="L11" s="199">
        <v>2018</v>
      </c>
      <c r="M11" s="220" t="s">
        <v>66</v>
      </c>
    </row>
    <row r="12" spans="1:13" ht="12" customHeight="1">
      <c r="A12" s="218"/>
      <c r="C12" s="196" t="s">
        <v>199</v>
      </c>
      <c r="D12" s="200">
        <f>SP1000P100F2500CY</f>
        <v>8673</v>
      </c>
      <c r="E12" s="200">
        <f>SP1000P100F2500</f>
        <v>29617</v>
      </c>
      <c r="F12" s="221">
        <f t="shared" si="0"/>
        <v>2.415</v>
      </c>
      <c r="H12" s="231" t="s">
        <v>271</v>
      </c>
      <c r="I12" s="197"/>
      <c r="J12" s="234"/>
      <c r="K12" s="201">
        <f>'Page 2'!M5</f>
        <v>45577</v>
      </c>
      <c r="L12" s="201">
        <f>'Page 2'!N5</f>
        <v>47860</v>
      </c>
      <c r="M12" s="221">
        <f aca="true" t="shared" si="1" ref="M12:M19">IF(K12=0," ",(L12-K12)/K12)</f>
        <v>0.05</v>
      </c>
    </row>
    <row r="13" spans="1:13" ht="12" customHeight="1">
      <c r="A13" s="218"/>
      <c r="C13" s="196" t="s">
        <v>200</v>
      </c>
      <c r="D13" s="200">
        <f>SP1000P100F2600CY</f>
        <v>162387</v>
      </c>
      <c r="E13" s="200">
        <f>SP1000P100F2600</f>
        <v>172120</v>
      </c>
      <c r="F13" s="221">
        <f t="shared" si="0"/>
        <v>0.06</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39227</v>
      </c>
      <c r="E15" s="200">
        <f>SP1000P100F3000</f>
        <v>58458</v>
      </c>
      <c r="F15" s="221">
        <f t="shared" si="0"/>
        <v>0.49</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45577</v>
      </c>
      <c r="L19" s="200">
        <f>SUM(L12:L18)</f>
        <v>47860</v>
      </c>
      <c r="M19" s="224">
        <f t="shared" si="1"/>
        <v>0.05</v>
      </c>
    </row>
    <row r="20" spans="1:13" ht="12" customHeight="1">
      <c r="A20" s="218" t="s">
        <v>78</v>
      </c>
      <c r="D20" s="200">
        <f>SP1000P630700800900CY</f>
        <v>500</v>
      </c>
      <c r="E20" s="200">
        <f>SP1000P630700800900</f>
        <v>5000</v>
      </c>
      <c r="F20" s="221">
        <f t="shared" si="0"/>
        <v>9</v>
      </c>
      <c r="H20" s="197"/>
      <c r="I20" s="197"/>
      <c r="K20" s="280"/>
      <c r="L20" s="280"/>
      <c r="M20" s="281"/>
    </row>
    <row r="21" spans="1:13" ht="12" customHeight="1">
      <c r="A21" s="223"/>
      <c r="B21" s="198" t="s">
        <v>202</v>
      </c>
      <c r="C21" s="204"/>
      <c r="D21" s="200">
        <f>SUM(D6:D20)</f>
        <v>592571</v>
      </c>
      <c r="E21" s="200">
        <f>SUM(E6:E20)</f>
        <v>695855</v>
      </c>
      <c r="F21" s="221">
        <f t="shared" si="0"/>
        <v>0.174</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1030</v>
      </c>
      <c r="E23" s="241">
        <f>SP1000P200F1000</f>
        <v>1030</v>
      </c>
      <c r="F23" s="222">
        <f>IF(D23=0," ",(E23-D23)/D23)</f>
        <v>0</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6330</v>
      </c>
      <c r="E25" s="201">
        <f>SP1000P200F2100</f>
        <v>21330</v>
      </c>
      <c r="F25" s="222">
        <f aca="true" t="shared" si="2" ref="F25:F41">IF(D25=0," ",(E25-D25)/D25)</f>
        <v>2.37</v>
      </c>
      <c r="H25" s="218"/>
      <c r="J25" s="211" t="s">
        <v>251</v>
      </c>
      <c r="K25" s="211" t="s">
        <v>56</v>
      </c>
      <c r="L25" s="219" t="s">
        <v>65</v>
      </c>
      <c r="M25" s="281"/>
    </row>
    <row r="26" spans="1:13" ht="12" customHeight="1">
      <c r="A26" s="218"/>
      <c r="C26" s="196" t="s">
        <v>196</v>
      </c>
      <c r="D26" s="201">
        <f>SP1000P200F2200CY</f>
        <v>22217</v>
      </c>
      <c r="E26" s="201">
        <f>SP1000P200F2200</f>
        <v>15500</v>
      </c>
      <c r="F26" s="225">
        <f t="shared" si="2"/>
        <v>-0.302</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679703</v>
      </c>
      <c r="K27" s="201">
        <f>SP1000Total</f>
        <v>794915</v>
      </c>
      <c r="L27" s="224">
        <f>IF(J27=0," ",(K27-J27)/J27)</f>
        <v>0.17</v>
      </c>
      <c r="M27" s="281"/>
    </row>
    <row r="28" spans="1:13" ht="12" customHeight="1">
      <c r="A28" s="218"/>
      <c r="C28" s="196" t="s">
        <v>198</v>
      </c>
      <c r="D28" s="201">
        <f>SP1000P200F2400CY</f>
        <v>0</v>
      </c>
      <c r="E28" s="201">
        <f>SP1000P200F2400</f>
        <v>0</v>
      </c>
      <c r="F28" s="221" t="str">
        <f t="shared" si="2"/>
        <v> </v>
      </c>
      <c r="H28" s="226" t="s">
        <v>207</v>
      </c>
      <c r="I28" s="207"/>
      <c r="J28" s="200">
        <f>SP1000ClassSiteProjCY</f>
        <v>162099</v>
      </c>
      <c r="K28" s="200">
        <f>SP1000ClassSiteProj</f>
        <v>42485</v>
      </c>
      <c r="L28" s="224">
        <f aca="true" t="shared" si="3" ref="L28:L35">IF(J28=0," ",(K28-J28)/J28)</f>
        <v>-0.738</v>
      </c>
      <c r="M28" s="281"/>
    </row>
    <row r="29" spans="1:13" ht="12" customHeight="1">
      <c r="A29" s="218"/>
      <c r="C29" s="196" t="s">
        <v>199</v>
      </c>
      <c r="D29" s="201">
        <f>SP1000P200F2500CY</f>
        <v>4000</v>
      </c>
      <c r="E29" s="201">
        <f>SP1000P200F2500</f>
        <v>0</v>
      </c>
      <c r="F29" s="221">
        <f t="shared" si="2"/>
        <v>-1</v>
      </c>
      <c r="H29" s="226" t="s">
        <v>217</v>
      </c>
      <c r="I29" s="207"/>
      <c r="J29" s="200">
        <f>SP1000InstrImpProjCY</f>
        <v>5558</v>
      </c>
      <c r="K29" s="200">
        <f>SP1000InstrImpProj</f>
        <v>0</v>
      </c>
      <c r="L29" s="224">
        <f t="shared" si="3"/>
        <v>-1</v>
      </c>
      <c r="M29" s="281"/>
    </row>
    <row r="30" spans="1:13" ht="12" customHeight="1">
      <c r="A30" s="218"/>
      <c r="C30" s="196" t="s">
        <v>200</v>
      </c>
      <c r="D30" s="201">
        <f>SP1000P200F2600CY</f>
        <v>12000</v>
      </c>
      <c r="E30" s="201">
        <f>SP1000P200F2600</f>
        <v>10000</v>
      </c>
      <c r="F30" s="221">
        <f t="shared" si="2"/>
        <v>-0.167</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140415</v>
      </c>
      <c r="K32" s="200">
        <f>TotalFederalProjects</f>
        <v>128077</v>
      </c>
      <c r="L32" s="224">
        <f t="shared" si="3"/>
        <v>-0.088</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45577</v>
      </c>
      <c r="E35" s="213">
        <f>SUM(E23:E34)</f>
        <v>47860</v>
      </c>
      <c r="F35" s="221">
        <f t="shared" si="2"/>
        <v>0.05</v>
      </c>
      <c r="H35" s="226" t="s">
        <v>208</v>
      </c>
      <c r="I35" s="207"/>
      <c r="J35" s="200">
        <f>SUM(J27:J34)</f>
        <v>987775</v>
      </c>
      <c r="K35" s="200">
        <f>SUM(K27:K34)</f>
        <v>965477</v>
      </c>
      <c r="L35" s="224">
        <f t="shared" si="3"/>
        <v>-0.023</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41555</v>
      </c>
      <c r="E37" s="200">
        <f>SP1000P400</f>
        <v>51200</v>
      </c>
      <c r="F37" s="224">
        <f t="shared" si="2"/>
        <v>0.232</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679703</v>
      </c>
      <c r="E41" s="201">
        <f>SUM(E35:E40)+E21</f>
        <v>794915</v>
      </c>
      <c r="F41" s="224">
        <f t="shared" si="2"/>
        <v>0.17</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dimension ref="A1:F35"/>
  <sheetViews>
    <sheetView showGridLines="0" tabSelected="1"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5.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horizontalDpi="600" verticalDpi="600" orientation="landscape"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sgonzales</cp:lastModifiedBy>
  <cp:lastPrinted>2017-06-20T21:21:02Z</cp:lastPrinted>
  <dcterms:created xsi:type="dcterms:W3CDTF">1997-10-08T16:25:08Z</dcterms:created>
  <dcterms:modified xsi:type="dcterms:W3CDTF">2017-07-12T16:35:00Z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