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36" activeTab="0"/>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<sst xmlns="http://schemas.openxmlformats.org/spreadsheetml/2006/main" count="551" uniqueCount="350">
  <si>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</si>
  <si>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</si>
  <si>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</si>
  <si>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</si>
  <si>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</si>
  <si>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</si>
  <si>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</si>
  <si>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</si>
  <si>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</si>
  <si>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</si>
  <si>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</si>
  <si>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</si>
  <si>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</si>
  <si>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</si>
  <si>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</si>
  <si>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</si>
  <si>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</si>
  <si>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</si>
  <si>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</si>
  <si>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</si>
  <si>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</si>
  <si>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</si>
  <si>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</si>
  <si>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</si>
  <si>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</si>
  <si>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</si>
  <si>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</si>
  <si>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</si>
  <si>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</si>
  <si>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</si>
  <si>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</si>
  <si>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</si>
  <si>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</si>
  <si>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</si>
  <si>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</si>
  <si>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</si>
  <si>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</si>
  <si>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</si>
  <si>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</si>
  <si>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</si>
  <si>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</si>
  <si>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</si>
  <si>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</si>
  <si>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</si>
  <si>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</si>
  <si>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</si>
  <si>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</si>
  <si>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</si>
  <si>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</si>
  <si>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</si>
  <si>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</si>
  <si>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</si>
  <si>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</si>
  <si>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</si>
  <si>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</si>
  <si>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</si>
  <si>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</si>
  <si>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</si>
  <si>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</si>
  <si>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</si>
  <si>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</si>
  <si>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</si>
  <si>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</si>
  <si>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</si>
  <si>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</si>
  <si>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</si>
  <si>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</si>
  <si>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</si>
  <si>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</si>
  <si>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</si>
  <si>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</si>
  <si>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</si>
  <si>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</si>
  <si>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</si>
  <si>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</si>
  <si>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</si>
  <si>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</si>
  <si>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</si>
  <si>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</si>
  <si>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</si>
  <si>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</si>
  <si>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</si>
  <si>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</si>
  <si>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</si>
  <si>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</si>
  <si>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</si>
  <si>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</si>
  <si>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</si>
  <si>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</si>
  <si>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</si>
  <si>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</si>
  <si>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</si>
  <si>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</si>
  <si>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</si>
  <si>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</si>
  <si>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</si>
  <si>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</si>
  <si>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</si>
  <si>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</si>
  <si>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</si>
  <si>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</si>
  <si>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</si>
  <si>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</si>
  <si>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</si>
  <si>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</si>
  <si>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</si>
  <si>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</si>
  <si>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</si>
  <si>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</si>
  <si>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</si>
  <si>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</si>
  <si>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</si>
  <si>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</si>
  <si>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</si>
  <si>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</si>
  <si>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</si>
  <si>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</si>
  <si>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</si>
  <si>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</si>
  <si>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</si>
  <si>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</si>
  <si>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</si>
  <si>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</si>
  <si>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</si>
  <si>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</si>
  <si>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</si>
  <si>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</si>
  <si>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</si>
  <si>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</si>
  <si>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</si>
  <si>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</si>
  <si>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</si>
  <si>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</si>
  <si>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</si>
  <si>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</si>
  <si>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</si>
  <si>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</si>
  <si>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</si>
  <si>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</si>
  <si>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</si>
  <si>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</si>
  <si>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</si>
  <si>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</si>
  <si>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</si>
  <si>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</si>
  <si>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</si>
  <si>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</si>
  <si>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</si>
  <si>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</si>
  <si>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</si>
  <si>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</si>
  <si>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</si>
  <si>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</si>
  <si>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</si>
  <si>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</si>
  <si>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</si>
  <si>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</si>
  <si>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</si>
  <si>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</si>
  <si>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</si>
  <si>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</si>
  <si>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</si>
  <si>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</si>
  <si>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</si>
  <si>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</si>
  <si>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</si>
  <si>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</si>
  <si>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</si>
  <si>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</si>
  <si>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</si>
  <si>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</si>
  <si>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</si>
  <si>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</si>
  <si>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</si>
  <si>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</si>
  <si>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</si>
  <si>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</si>
  <si>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</si>
  <si>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</si>
  <si>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</si>
  <si>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</si>
  <si>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</si>
  <si>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</si>
  <si>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</si>
  <si>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</si>
  <si>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</si>
  <si>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</si>
  <si>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</si>
  <si>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</si>
  <si>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</si>
  <si>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</si>
  <si>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</si>
  <si>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</si>
  <si>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</si>
  <si>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</si>
  <si>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</si>
  <si>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</si>
  <si>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</si>
  <si>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</si>
  <si>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</si>
  <si>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</si>
  <si>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</si>
  <si>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</si>
  <si>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</si>
  <si>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</si>
  <si>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</si>
  <si>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</si>
  <si>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</si>
  <si>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</si>
  <si>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</si>
  <si>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</si>
  <si>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</si>
  <si>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</si>
  <si>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</si>
  <si>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</si>
  <si>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</si>
  <si>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</si>
  <si>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</si>
  <si>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</si>
  <si>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</si>
  <si>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</si>
  <si>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</si>
  <si>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</si>
  <si>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</si>
  <si>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</si>
  <si>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</si>
  <si>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</si>
  <si>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</si>
  <si>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</si>
  <si>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</si>
  <si>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</si>
  <si>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</si>
  <si>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</si>
  <si>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</si>
  <si>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</si>
  <si>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</si>
  <si>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</si>
  <si>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</si>
  <si>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</si>
  <si>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</si>
  <si>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</si>
  <si>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</si>
  <si>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</si>
  <si>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</si>
  <si>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</si>
  <si>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</si>
  <si>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</si>
  <si>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</si>
  <si>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</si>
  <si>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</si>
  <si>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</si>
  <si>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</si>
  <si>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</si>
  <si>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</si>
  <si>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</si>
  <si>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</si>
  <si>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</si>
  <si>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</si>
  <si>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</si>
  <si>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</si>
  <si>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</si>
  <si>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</si>
  <si>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</si>
  <si>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</si>
  <si>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</si>
  <si>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</si>
  <si>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</si>
  <si>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</si>
  <si>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</si>
  <si>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</si>
  <si>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</si>
  <si>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</si>
  <si>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</si>
  <si>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</si>
  <si>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</si>
  <si>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</si>
  <si>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</si>
  <si>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</si>
  <si>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</si>
  <si>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</si>
  <si>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</si>
  <si>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</si>
  <si>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</si>
  <si>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</si>
  <si>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</si>
  <si>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</si>
  <si>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</si>
  <si>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</si>
  <si>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</si>
  <si>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</si>
  <si>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</si>
  <si>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</si>
  <si>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</si>
  <si>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</si>
  <si>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</si>
  <si>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</si>
  <si>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</si>
  <si>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</si>
  <si>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</si>
  <si>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</si>
  <si>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</si>
  <si>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</si>
  <si>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</si>
  <si>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</si>
  <si>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</si>
  <si>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</si>
  <si>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</si>
  <si>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</si>
  <si>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</si>
  <si>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</si>
  <si>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</si>
  <si>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</si>
  <si>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</si>
  <si>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</si>
  <si>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</si>
  <si>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</si>
  <si>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</si>
  <si>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</si>
  <si>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</si>
  <si>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</si>
  <si>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</si>
  <si>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</si>
  <si>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</si>
  <si>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</si>
  <si>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</si>
  <si>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</si>
  <si>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</si>
  <si>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</si>
  <si>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</si>
  <si>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</si>
  <si>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</si>
  <si>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</si>
  <si>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</si>
  <si>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</si>
  <si>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</si>
  <si>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</si>
  <si>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</si>
  <si>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</si>
  <si>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</si>
  <si>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</si>
  <si>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 xml:space="preserve">Pima Prevention Partnership </t>
  </si>
  <si>
    <t>Maricopa</t>
  </si>
  <si>
    <t>108507000</t>
  </si>
  <si>
    <t>Edith Garcia</t>
  </si>
  <si>
    <t>520-791-2711</t>
  </si>
  <si>
    <t>egarciamacklin@thepartnership.us</t>
  </si>
  <si>
    <t>Edith Garcia Macklin</t>
  </si>
  <si>
    <t>Claudina Douglas</t>
  </si>
  <si>
    <t>ACHS</t>
  </si>
  <si>
    <t>Revised #1</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</si>
</sst>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1">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color indexed="8"/>
      </top>
      <bottom style="thin"/>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0">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4" fillId="0" borderId="0" xfId="0" applyFont="1" applyFill="1" applyBorder="1" applyAlignment="1">
      <alignment/>
    </xf>
    <xf numFmtId="0" fontId="54" fillId="0"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horizontal="center"/>
    </xf>
    <xf numFmtId="38" fontId="54" fillId="0" borderId="14" xfId="0" applyNumberFormat="1"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21" xfId="0"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17" xfId="0" applyFont="1" applyFill="1" applyBorder="1" applyAlignment="1">
      <alignment/>
    </xf>
    <xf numFmtId="38" fontId="54" fillId="0" borderId="23" xfId="0" applyNumberFormat="1" applyFont="1" applyFill="1" applyBorder="1" applyAlignment="1" applyProtection="1">
      <alignment/>
      <protection/>
    </xf>
    <xf numFmtId="0" fontId="54" fillId="0" borderId="21" xfId="0" applyFont="1" applyFill="1" applyBorder="1" applyAlignment="1" applyProtection="1">
      <alignment/>
      <protection/>
    </xf>
    <xf numFmtId="0" fontId="54" fillId="0" borderId="24"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horizontal="right"/>
    </xf>
    <xf numFmtId="0" fontId="54" fillId="0" borderId="21" xfId="0" applyFont="1" applyFill="1" applyBorder="1" applyAlignment="1">
      <alignment horizontal="center"/>
    </xf>
    <xf numFmtId="0" fontId="54" fillId="0" borderId="23" xfId="0" applyFont="1" applyFill="1" applyBorder="1" applyAlignment="1">
      <alignment horizontal="center"/>
    </xf>
    <xf numFmtId="0" fontId="54" fillId="0" borderId="0" xfId="0" applyFont="1" applyFill="1" applyBorder="1" applyAlignment="1" applyProtection="1">
      <alignment/>
      <protection/>
    </xf>
    <xf numFmtId="38" fontId="54" fillId="0" borderId="21" xfId="0" applyNumberFormat="1" applyFont="1" applyFill="1" applyBorder="1" applyAlignment="1" applyProtection="1">
      <alignment/>
      <protection/>
    </xf>
    <xf numFmtId="0" fontId="54" fillId="0" borderId="0" xfId="0" applyFont="1" applyFill="1" applyBorder="1" applyAlignment="1" applyProtection="1">
      <alignment vertical="center" wrapText="1"/>
      <protection/>
    </xf>
    <xf numFmtId="0" fontId="55" fillId="0" borderId="0" xfId="0" applyFont="1" applyFill="1" applyBorder="1" applyAlignment="1">
      <alignment/>
    </xf>
    <xf numFmtId="0" fontId="55" fillId="0" borderId="10" xfId="0" applyFont="1" applyFill="1" applyBorder="1" applyAlignment="1">
      <alignment/>
    </xf>
    <xf numFmtId="0" fontId="54" fillId="0" borderId="20" xfId="0" applyFont="1" applyFill="1" applyBorder="1" applyAlignment="1">
      <alignment/>
    </xf>
    <xf numFmtId="0" fontId="54" fillId="0" borderId="11" xfId="0" applyFont="1" applyFill="1" applyBorder="1" applyAlignment="1">
      <alignment/>
    </xf>
    <xf numFmtId="0" fontId="54" fillId="0" borderId="15" xfId="0" applyFont="1" applyFill="1" applyBorder="1" applyAlignment="1">
      <alignment horizontal="center"/>
    </xf>
    <xf numFmtId="0" fontId="54"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4"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4" fillId="0" borderId="19" xfId="0" applyFont="1" applyFill="1" applyBorder="1" applyAlignment="1">
      <alignment/>
    </xf>
    <xf numFmtId="0" fontId="54" fillId="0" borderId="10" xfId="0" applyFont="1" applyFill="1" applyBorder="1" applyAlignment="1">
      <alignment/>
    </xf>
    <xf numFmtId="0" fontId="54" fillId="0" borderId="18" xfId="0" applyFont="1" applyFill="1" applyBorder="1" applyAlignment="1">
      <alignment/>
    </xf>
    <xf numFmtId="0" fontId="55" fillId="0" borderId="11" xfId="0" applyFont="1" applyFill="1" applyBorder="1" applyAlignment="1">
      <alignment horizontal="left"/>
    </xf>
    <xf numFmtId="0" fontId="55" fillId="0" borderId="22" xfId="0" applyFont="1" applyFill="1" applyBorder="1" applyAlignment="1">
      <alignment horizontal="left"/>
    </xf>
    <xf numFmtId="0" fontId="54" fillId="0" borderId="11" xfId="0" applyFont="1" applyFill="1" applyBorder="1" applyAlignment="1">
      <alignment horizontal="left"/>
    </xf>
    <xf numFmtId="0" fontId="55" fillId="0" borderId="11" xfId="0" applyFont="1" applyFill="1" applyBorder="1" applyAlignment="1">
      <alignment/>
    </xf>
    <xf numFmtId="0" fontId="55" fillId="0" borderId="0" xfId="0" applyFont="1" applyFill="1" applyBorder="1" applyAlignment="1">
      <alignment horizontal="left"/>
    </xf>
    <xf numFmtId="0" fontId="54" fillId="0" borderId="15" xfId="0" applyFont="1" applyFill="1" applyBorder="1" applyAlignment="1">
      <alignment/>
    </xf>
    <xf numFmtId="0" fontId="55"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4" fillId="0" borderId="22" xfId="0" applyNumberFormat="1" applyFont="1" applyFill="1" applyBorder="1" applyAlignment="1" applyProtection="1">
      <alignment/>
      <protection/>
    </xf>
    <xf numFmtId="0" fontId="54" fillId="0" borderId="10" xfId="0" applyFont="1" applyFill="1" applyBorder="1" applyAlignment="1" applyProtection="1">
      <alignment/>
      <protection/>
    </xf>
    <xf numFmtId="0" fontId="54" fillId="0" borderId="21" xfId="0" applyFont="1" applyFill="1" applyBorder="1" applyAlignment="1">
      <alignment/>
    </xf>
    <xf numFmtId="38" fontId="54"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6" fillId="0" borderId="0" xfId="53" applyFont="1" applyFill="1" applyAlignment="1" applyProtection="1">
      <alignment horizontal="centerContinuous"/>
      <protection/>
    </xf>
    <xf numFmtId="0" fontId="0" fillId="0" borderId="11" xfId="0" applyFill="1" applyBorder="1" applyAlignment="1" applyProtection="1">
      <alignment/>
      <protection/>
    </xf>
    <xf numFmtId="0" fontId="57"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8" fillId="0" borderId="0" xfId="0" applyFont="1" applyFill="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6" fillId="34" borderId="20" xfId="53" applyFont="1" applyFill="1" applyBorder="1" applyAlignment="1" applyProtection="1">
      <alignment/>
      <protection/>
    </xf>
    <xf numFmtId="0" fontId="56" fillId="34" borderId="0" xfId="53" applyFont="1" applyFill="1" applyBorder="1" applyAlignment="1" applyProtection="1">
      <alignment/>
      <protection/>
    </xf>
    <xf numFmtId="0" fontId="57" fillId="34" borderId="0" xfId="53" applyFont="1" applyFill="1" applyAlignment="1" applyProtection="1">
      <alignment/>
      <protection/>
    </xf>
    <xf numFmtId="0" fontId="57" fillId="34" borderId="0" xfId="53" applyFont="1" applyFill="1" applyAlignment="1" applyProtection="1">
      <alignment horizontal="centerContinuous"/>
      <protection/>
    </xf>
    <xf numFmtId="0" fontId="56"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9" fillId="0" borderId="0" xfId="53" applyFont="1" applyFill="1" applyAlignment="1" applyProtection="1">
      <alignment horizontal="center" vertical="top"/>
      <protection/>
    </xf>
    <xf numFmtId="0" fontId="59" fillId="34" borderId="23" xfId="53" applyFont="1" applyFill="1" applyBorder="1" applyAlignment="1" applyProtection="1">
      <alignment horizontal="center"/>
      <protection/>
    </xf>
    <xf numFmtId="0" fontId="59" fillId="34" borderId="12" xfId="53" applyFont="1" applyFill="1" applyBorder="1" applyAlignment="1" applyProtection="1">
      <alignment/>
      <protection/>
    </xf>
    <xf numFmtId="0" fontId="60" fillId="34" borderId="0" xfId="53" applyFont="1" applyFill="1" applyAlignment="1" applyProtection="1">
      <alignment horizontal="centerContinuous"/>
      <protection/>
    </xf>
    <xf numFmtId="0" fontId="60" fillId="34" borderId="0" xfId="53" applyFont="1" applyFill="1" applyAlignment="1" applyProtection="1">
      <alignment horizontal="left" vertical="center"/>
      <protection/>
    </xf>
    <xf numFmtId="0" fontId="59" fillId="34" borderId="11" xfId="53" applyFont="1" applyFill="1" applyBorder="1" applyAlignment="1" applyProtection="1">
      <alignment/>
      <protection/>
    </xf>
    <xf numFmtId="0" fontId="59" fillId="34" borderId="10" xfId="53" applyFont="1" applyFill="1" applyBorder="1" applyAlignment="1" applyProtection="1">
      <alignment/>
      <protection/>
    </xf>
    <xf numFmtId="164" fontId="0" fillId="0" borderId="16" xfId="0" applyNumberFormat="1" applyBorder="1" applyAlignment="1">
      <alignment/>
    </xf>
    <xf numFmtId="0" fontId="59" fillId="34" borderId="0" xfId="53" applyFont="1" applyFill="1" applyAlignment="1" applyProtection="1">
      <alignment vertical="center"/>
      <protection/>
    </xf>
    <xf numFmtId="164" fontId="0" fillId="0" borderId="0" xfId="0" applyNumberFormat="1" applyAlignment="1">
      <alignment/>
    </xf>
    <xf numFmtId="0" fontId="60"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9"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4"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9"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9"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4" fillId="0" borderId="0" xfId="0" applyFont="1" applyFill="1" applyBorder="1" applyAlignment="1">
      <alignment horizontal="center"/>
    </xf>
    <xf numFmtId="0" fontId="55"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9"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7"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0" fontId="0" fillId="0" borderId="12" xfId="0" applyFill="1" applyBorder="1" applyAlignment="1" applyProtection="1">
      <alignment/>
      <protection locked="0"/>
    </xf>
    <xf numFmtId="0" fontId="0" fillId="0" borderId="0" xfId="0" applyFill="1" applyAlignment="1" applyProtection="1">
      <alignment horizontal="left"/>
      <protection/>
    </xf>
    <xf numFmtId="0" fontId="0" fillId="0" borderId="12" xfId="0" applyFill="1" applyBorder="1" applyAlignment="1" applyProtection="1">
      <alignment horizontal="center"/>
      <protection locked="0"/>
    </xf>
    <xf numFmtId="0" fontId="0" fillId="0" borderId="12" xfId="0" applyFill="1" applyBorder="1" applyAlignment="1" applyProtection="1">
      <alignment/>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left"/>
      <protection locked="0"/>
    </xf>
    <xf numFmtId="168" fontId="0" fillId="0" borderId="24" xfId="0" applyNumberFormat="1" applyFill="1" applyBorder="1" applyAlignment="1" applyProtection="1">
      <alignment horizontal="left"/>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ont="1" applyFill="1" applyBorder="1" applyAlignment="1" applyProtection="1">
      <alignment/>
      <protection locked="0"/>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0" fillId="0" borderId="0" xfId="0" applyFont="1" applyFill="1" applyAlignment="1">
      <alignment horizontal="left"/>
    </xf>
    <xf numFmtId="0" fontId="0" fillId="0" borderId="20" xfId="0" applyFont="1" applyFill="1" applyBorder="1" applyAlignment="1" applyProtection="1">
      <alignment horizontal="center"/>
      <protection/>
    </xf>
    <xf numFmtId="0" fontId="0" fillId="0" borderId="30" xfId="0" applyFont="1" applyFill="1" applyBorder="1" applyAlignment="1" applyProtection="1">
      <alignment/>
      <protection locked="0"/>
    </xf>
    <xf numFmtId="0" fontId="0" fillId="0" borderId="30" xfId="0" applyFill="1" applyBorder="1" applyAlignment="1" applyProtection="1">
      <alignment/>
      <protection locked="0"/>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31"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0" xfId="0" applyFont="1" applyFill="1" applyAlignment="1" applyProtection="1">
      <alignment/>
      <protection/>
    </xf>
    <xf numFmtId="0" fontId="0" fillId="0" borderId="0" xfId="0" applyFill="1" applyAlignment="1" applyProtection="1">
      <alignment/>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4" fillId="0" borderId="19" xfId="0" applyNumberFormat="1" applyFont="1" applyFill="1" applyBorder="1" applyAlignment="1" applyProtection="1">
      <alignment horizontal="center"/>
      <protection/>
    </xf>
    <xf numFmtId="38" fontId="54" fillId="0" borderId="16" xfId="0" applyNumberFormat="1" applyFont="1" applyFill="1" applyBorder="1" applyAlignment="1" applyProtection="1">
      <alignment horizontal="center"/>
      <protection/>
    </xf>
    <xf numFmtId="0" fontId="55" fillId="0" borderId="0" xfId="0" applyFont="1" applyFill="1" applyBorder="1" applyAlignment="1">
      <alignment horizontal="center"/>
    </xf>
    <xf numFmtId="0" fontId="54" fillId="0" borderId="10"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6" xfId="0" applyFont="1" applyFill="1" applyBorder="1" applyAlignment="1">
      <alignment horizontal="center"/>
    </xf>
    <xf numFmtId="0" fontId="54" fillId="0" borderId="22" xfId="0" applyFont="1" applyFill="1" applyBorder="1" applyAlignment="1">
      <alignment horizontal="left"/>
    </xf>
    <xf numFmtId="0" fontId="54" fillId="0" borderId="12" xfId="0" applyFont="1" applyFill="1" applyBorder="1" applyAlignment="1">
      <alignment horizontal="left"/>
    </xf>
    <xf numFmtId="0" fontId="55" fillId="0" borderId="19" xfId="0" applyFont="1" applyFill="1" applyBorder="1" applyAlignment="1">
      <alignment horizontal="center"/>
    </xf>
    <xf numFmtId="0" fontId="55" fillId="0" borderId="24" xfId="0" applyFont="1" applyFill="1" applyBorder="1" applyAlignment="1">
      <alignment horizontal="center"/>
    </xf>
    <xf numFmtId="0" fontId="55"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7</xdr:row>
      <xdr:rowOff>47625</xdr:rowOff>
    </xdr:from>
    <xdr:to>
      <xdr:col>9</xdr:col>
      <xdr:colOff>857250</xdr:colOff>
      <xdr:row>8</xdr:row>
      <xdr:rowOff>142875</xdr:rowOff>
    </xdr:to>
    <xdr:sp>
      <xdr:nvSpPr>
        <xdr:cNvPr id="1" name="Rectangle 1">
          <a:hlinkClick r:id="rId1"/>
        </xdr:cNvPr>
        <xdr:cNvSpPr>
          <a:spLocks/>
        </xdr:cNvSpPr>
      </xdr:nvSpPr>
      <xdr:spPr>
        <a:xfrm>
          <a:off x="4124325" y="1247775"/>
          <a:ext cx="1028700"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85725</xdr:rowOff>
    </xdr:from>
    <xdr:to>
      <xdr:col>4</xdr:col>
      <xdr:colOff>152400</xdr:colOff>
      <xdr:row>4</xdr:row>
      <xdr:rowOff>76200</xdr:rowOff>
    </xdr:to>
    <xdr:sp>
      <xdr:nvSpPr>
        <xdr:cNvPr id="1" name="Rectangle 4">
          <a:hlinkClick r:id="rId1"/>
        </xdr:cNvPr>
        <xdr:cNvSpPr>
          <a:spLocks/>
        </xdr:cNvSpPr>
      </xdr:nvSpPr>
      <xdr:spPr>
        <a:xfrm>
          <a:off x="2571750" y="285750"/>
          <a:ext cx="971550" cy="2952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2</xdr:col>
      <xdr:colOff>19050</xdr:colOff>
      <xdr:row>3</xdr:row>
      <xdr:rowOff>171450</xdr:rowOff>
    </xdr:to>
    <xdr:sp>
      <xdr:nvSpPr>
        <xdr:cNvPr id="1" name="Rectangle 7">
          <a:hlinkClick r:id="rId1"/>
        </xdr:cNvPr>
        <xdr:cNvSpPr>
          <a:spLocks/>
        </xdr:cNvSpPr>
      </xdr:nvSpPr>
      <xdr:spPr>
        <a:xfrm>
          <a:off x="266700" y="419100"/>
          <a:ext cx="971550" cy="1714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57150</xdr:rowOff>
    </xdr:from>
    <xdr:to>
      <xdr:col>4</xdr:col>
      <xdr:colOff>209550</xdr:colOff>
      <xdr:row>5</xdr:row>
      <xdr:rowOff>19050</xdr:rowOff>
    </xdr:to>
    <xdr:sp>
      <xdr:nvSpPr>
        <xdr:cNvPr id="1" name="Rectangle 5">
          <a:hlinkClick r:id="rId1"/>
        </xdr:cNvPr>
        <xdr:cNvSpPr>
          <a:spLocks/>
        </xdr:cNvSpPr>
      </xdr:nvSpPr>
      <xdr:spPr>
        <a:xfrm>
          <a:off x="2305050"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62175" y="400050"/>
          <a:ext cx="10096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19050</xdr:rowOff>
    </xdr:from>
    <xdr:to>
      <xdr:col>2</xdr:col>
      <xdr:colOff>1000125</xdr:colOff>
      <xdr:row>1</xdr:row>
      <xdr:rowOff>38100</xdr:rowOff>
    </xdr:to>
    <xdr:sp>
      <xdr:nvSpPr>
        <xdr:cNvPr id="1" name="Rectangle 2">
          <a:hlinkClick r:id="rId1"/>
        </xdr:cNvPr>
        <xdr:cNvSpPr>
          <a:spLocks/>
        </xdr:cNvSpPr>
      </xdr:nvSpPr>
      <xdr:spPr>
        <a:xfrm>
          <a:off x="209550" y="19050"/>
          <a:ext cx="100012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AK3Reading" refersTo="=Page 2!$E$45"/>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 name="SP14701499Other" refersTo="=Page 2!$E$33"/>
      <definedName name="TotalSEIP" refersTo="=Page 4!$N$22"/>
    </definedNames>
    <sheetDataSet>
      <sheetData sheetId="0">
        <row r="19">
          <cell r="R19">
            <v>1910881</v>
          </cell>
        </row>
      </sheetData>
      <sheetData sheetId="1">
        <row r="8">
          <cell r="L8">
            <v>257733</v>
          </cell>
        </row>
        <row r="10">
          <cell r="L10">
            <v>193474</v>
          </cell>
        </row>
        <row r="11">
          <cell r="L11">
            <v>31241</v>
          </cell>
        </row>
        <row r="12">
          <cell r="L12">
            <v>10983</v>
          </cell>
        </row>
        <row r="13">
          <cell r="L13">
            <v>233925</v>
          </cell>
        </row>
        <row r="14">
          <cell r="L14">
            <v>36000</v>
          </cell>
        </row>
        <row r="15">
          <cell r="L15">
            <v>293811</v>
          </cell>
        </row>
        <row r="16">
          <cell r="L16">
            <v>0</v>
          </cell>
        </row>
        <row r="17">
          <cell r="L17">
            <v>61500</v>
          </cell>
        </row>
        <row r="18">
          <cell r="L18">
            <v>0</v>
          </cell>
        </row>
        <row r="19">
          <cell r="L19">
            <v>0</v>
          </cell>
        </row>
        <row r="20">
          <cell r="L20">
            <v>0</v>
          </cell>
        </row>
        <row r="21">
          <cell r="L21">
            <v>0</v>
          </cell>
        </row>
        <row r="22">
          <cell r="L22">
            <v>15000</v>
          </cell>
        </row>
        <row r="25">
          <cell r="L25">
            <v>39100</v>
          </cell>
        </row>
        <row r="27">
          <cell r="L27">
            <v>33509</v>
          </cell>
        </row>
        <row r="28">
          <cell r="L28">
            <v>40218</v>
          </cell>
        </row>
        <row r="29">
          <cell r="L29">
            <v>0</v>
          </cell>
        </row>
        <row r="30">
          <cell r="L30">
            <v>0</v>
          </cell>
        </row>
        <row r="31">
          <cell r="L31">
            <v>0</v>
          </cell>
        </row>
        <row r="32">
          <cell r="L32">
            <v>0</v>
          </cell>
        </row>
        <row r="33">
          <cell r="L33">
            <v>0</v>
          </cell>
        </row>
        <row r="34">
          <cell r="L34">
            <v>0</v>
          </cell>
        </row>
        <row r="35">
          <cell r="L35">
            <v>0</v>
          </cell>
        </row>
        <row r="36">
          <cell r="L36">
            <v>0</v>
          </cell>
        </row>
        <row r="39">
          <cell r="L39">
            <v>54764</v>
          </cell>
        </row>
        <row r="40">
          <cell r="L40">
            <v>0</v>
          </cell>
        </row>
        <row r="41">
          <cell r="L41">
            <v>0</v>
          </cell>
        </row>
        <row r="42">
          <cell r="L42">
            <v>0</v>
          </cell>
        </row>
        <row r="44">
          <cell r="L44">
            <v>149391</v>
          </cell>
        </row>
        <row r="45">
          <cell r="L45">
            <v>0</v>
          </cell>
        </row>
        <row r="46">
          <cell r="L46">
            <v>0</v>
          </cell>
        </row>
        <row r="47">
          <cell r="L47">
            <v>0</v>
          </cell>
        </row>
        <row r="48">
          <cell r="L48">
            <v>409975</v>
          </cell>
        </row>
      </sheetData>
      <sheetData sheetId="2">
        <row r="5">
          <cell r="E5">
            <v>55665</v>
          </cell>
          <cell r="N5">
            <v>112827</v>
          </cell>
        </row>
        <row r="6">
          <cell r="E6">
            <v>757</v>
          </cell>
        </row>
        <row r="7">
          <cell r="E7">
            <v>50160</v>
          </cell>
        </row>
        <row r="12">
          <cell r="E12">
            <v>30429</v>
          </cell>
        </row>
        <row r="21">
          <cell r="E21">
            <v>272964</v>
          </cell>
        </row>
        <row r="23">
          <cell r="N23">
            <v>0</v>
          </cell>
        </row>
        <row r="25">
          <cell r="N25">
            <v>0</v>
          </cell>
        </row>
        <row r="33">
          <cell r="E33">
            <v>0</v>
          </cell>
        </row>
      </sheetData>
      <sheetData sheetId="3">
        <row r="9">
          <cell r="K9">
            <v>78540</v>
          </cell>
        </row>
        <row r="10">
          <cell r="K10">
            <v>0</v>
          </cell>
        </row>
        <row r="11">
          <cell r="K11">
            <v>0</v>
          </cell>
        </row>
        <row r="14">
          <cell r="K14">
            <v>0</v>
          </cell>
        </row>
        <row r="15">
          <cell r="K15">
            <v>0</v>
          </cell>
        </row>
        <row r="16">
          <cell r="K16">
            <v>0</v>
          </cell>
        </row>
        <row r="19">
          <cell r="K19">
            <v>0</v>
          </cell>
        </row>
        <row r="20">
          <cell r="K20">
            <v>0</v>
          </cell>
        </row>
        <row r="21">
          <cell r="K21">
            <v>0</v>
          </cell>
        </row>
        <row r="26">
          <cell r="K26">
            <v>15779</v>
          </cell>
        </row>
        <row r="27">
          <cell r="K27">
            <v>0</v>
          </cell>
        </row>
        <row r="28">
          <cell r="K28">
            <v>0</v>
          </cell>
        </row>
        <row r="31">
          <cell r="K31">
            <v>0</v>
          </cell>
        </row>
        <row r="32">
          <cell r="K32">
            <v>0</v>
          </cell>
        </row>
        <row r="33">
          <cell r="K33">
            <v>0</v>
          </cell>
        </row>
        <row r="36">
          <cell r="K36">
            <v>0</v>
          </cell>
        </row>
        <row r="37">
          <cell r="K37">
            <v>0</v>
          </cell>
        </row>
        <row r="38">
          <cell r="K38">
            <v>0</v>
          </cell>
        </row>
        <row r="43">
          <cell r="K43">
            <v>55072</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4"/>
  <sheetViews>
    <sheetView showGridLines="0" showZeros="0" tabSelected="1" zoomScale="90" zoomScaleNormal="90" workbookViewId="0" topLeftCell="A19">
      <selection activeCell="G31" sqref="G31:I31"/>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28" t="s">
        <v>0</v>
      </c>
      <c r="B1" s="328"/>
      <c r="C1" s="328"/>
      <c r="D1" s="331" t="s">
        <v>340</v>
      </c>
      <c r="E1" s="332"/>
      <c r="F1" s="332"/>
      <c r="G1" s="332"/>
      <c r="H1" s="332"/>
      <c r="I1" s="332"/>
      <c r="J1" s="37"/>
      <c r="K1" s="18"/>
      <c r="L1" s="42" t="s">
        <v>1</v>
      </c>
      <c r="M1" s="324" t="s">
        <v>341</v>
      </c>
      <c r="N1" s="325"/>
      <c r="O1" s="322" t="s">
        <v>91</v>
      </c>
      <c r="P1" s="322"/>
      <c r="Q1" s="322"/>
      <c r="R1" s="255" t="s">
        <v>342</v>
      </c>
    </row>
    <row r="2" spans="4:18" ht="12.75" customHeight="1">
      <c r="D2" s="319" t="s">
        <v>89</v>
      </c>
      <c r="E2" s="319"/>
      <c r="F2" s="319"/>
      <c r="G2" s="319"/>
      <c r="H2" s="319"/>
      <c r="I2" s="319"/>
      <c r="M2" s="36"/>
      <c r="O2" s="43"/>
      <c r="P2" s="43"/>
      <c r="Q2" s="36"/>
      <c r="R2" s="39"/>
    </row>
    <row r="3" spans="4:18" ht="12.75" customHeight="1">
      <c r="D3" s="333" t="s">
        <v>348</v>
      </c>
      <c r="E3" s="315"/>
      <c r="F3" s="315"/>
      <c r="G3" s="315"/>
      <c r="H3" s="315"/>
      <c r="I3" s="315"/>
      <c r="M3" s="36"/>
      <c r="O3" s="43"/>
      <c r="P3" s="43"/>
      <c r="Q3" s="36"/>
      <c r="R3" s="39"/>
    </row>
    <row r="4" spans="4:18" ht="12.75" customHeight="1">
      <c r="D4" s="319" t="s">
        <v>90</v>
      </c>
      <c r="E4" s="319"/>
      <c r="F4" s="319"/>
      <c r="G4" s="319"/>
      <c r="H4" s="319"/>
      <c r="I4" s="319"/>
      <c r="M4" s="36"/>
      <c r="O4" s="43"/>
      <c r="P4" s="43"/>
      <c r="Q4" s="36"/>
      <c r="R4" s="39"/>
    </row>
    <row r="5" spans="13:18" ht="12.75" customHeight="1">
      <c r="M5" s="36"/>
      <c r="O5" s="43"/>
      <c r="P5" s="43"/>
      <c r="Q5" s="36"/>
      <c r="R5" s="39"/>
    </row>
    <row r="6" spans="1:10" ht="18" customHeight="1">
      <c r="A6" s="36"/>
      <c r="B6" s="329" t="s">
        <v>282</v>
      </c>
      <c r="C6" s="329"/>
      <c r="D6" s="329"/>
      <c r="E6" s="329"/>
      <c r="F6" s="329"/>
      <c r="G6" s="329"/>
      <c r="H6" s="329"/>
      <c r="I6" s="329"/>
      <c r="J6" s="36"/>
    </row>
    <row r="7" spans="1:10" ht="12.75">
      <c r="A7" s="36"/>
      <c r="B7" s="36"/>
      <c r="C7" s="36"/>
      <c r="D7" s="36"/>
      <c r="E7" s="36"/>
      <c r="F7" s="36"/>
      <c r="G7" s="36"/>
      <c r="H7" s="37"/>
      <c r="I7" s="37"/>
      <c r="J7" s="45"/>
    </row>
    <row r="8" spans="1:18" ht="18" customHeight="1">
      <c r="A8" s="36"/>
      <c r="B8" s="329" t="s">
        <v>2</v>
      </c>
      <c r="C8" s="329"/>
      <c r="D8" s="329"/>
      <c r="E8" s="329"/>
      <c r="F8" s="329"/>
      <c r="G8" s="329"/>
      <c r="H8" s="329"/>
      <c r="I8" s="329"/>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30" t="s">
        <v>3</v>
      </c>
      <c r="C10" s="330"/>
      <c r="D10" s="330"/>
      <c r="E10" s="330"/>
      <c r="F10" s="330"/>
      <c r="G10" s="330"/>
      <c r="H10" s="330"/>
      <c r="I10" s="330"/>
      <c r="J10" s="323"/>
      <c r="K10" s="248"/>
    </row>
    <row r="11" spans="1:18" ht="12.75" customHeight="1">
      <c r="A11" s="36"/>
      <c r="B11" s="330"/>
      <c r="C11" s="330"/>
      <c r="D11" s="330"/>
      <c r="E11" s="330"/>
      <c r="F11" s="330"/>
      <c r="G11" s="330"/>
      <c r="H11" s="330"/>
      <c r="I11" s="330"/>
      <c r="J11" s="323"/>
      <c r="K11" s="47" t="s">
        <v>44</v>
      </c>
      <c r="L11" s="335" t="s">
        <v>284</v>
      </c>
      <c r="M11" s="336"/>
      <c r="N11" s="336"/>
      <c r="O11" s="336"/>
      <c r="P11" s="336"/>
      <c r="Q11" s="48" t="s">
        <v>5</v>
      </c>
      <c r="R11" s="49">
        <f>'[1]Cover'!$R$19</f>
        <v>1910881</v>
      </c>
    </row>
    <row r="12" spans="1:10" ht="12.75" customHeight="1">
      <c r="A12" s="36"/>
      <c r="B12" s="36"/>
      <c r="C12" s="36"/>
      <c r="D12" s="315" t="s">
        <v>349</v>
      </c>
      <c r="E12" s="315"/>
      <c r="F12" s="315"/>
      <c r="G12" s="315"/>
      <c r="H12" s="315"/>
      <c r="I12" s="37"/>
      <c r="J12" s="45"/>
    </row>
    <row r="13" spans="2:17" ht="12.75" customHeight="1">
      <c r="B13" s="340" t="s">
        <v>80</v>
      </c>
      <c r="C13" s="340"/>
      <c r="D13" s="341"/>
      <c r="E13" s="341"/>
      <c r="F13" s="341"/>
      <c r="G13" s="341"/>
      <c r="H13" s="341"/>
      <c r="I13" s="340"/>
      <c r="J13" s="50"/>
      <c r="K13" s="47" t="s">
        <v>45</v>
      </c>
      <c r="L13" s="334" t="s">
        <v>285</v>
      </c>
      <c r="M13" s="334"/>
      <c r="N13" s="334"/>
      <c r="O13" s="334"/>
      <c r="P13" s="334"/>
      <c r="Q13" s="334"/>
    </row>
    <row r="14" ht="12.75" customHeight="1">
      <c r="J14" s="50"/>
    </row>
    <row r="15" spans="1:18" ht="12.75" customHeight="1">
      <c r="A15" s="37"/>
      <c r="B15" s="37"/>
      <c r="C15" s="37"/>
      <c r="I15" s="37"/>
      <c r="J15" s="50"/>
      <c r="O15" s="44" t="s">
        <v>6</v>
      </c>
      <c r="P15" s="51" t="s">
        <v>7</v>
      </c>
      <c r="Q15" s="52" t="s">
        <v>5</v>
      </c>
      <c r="R15" s="53">
        <v>3500</v>
      </c>
    </row>
    <row r="16" spans="1:18" ht="12.75" customHeight="1">
      <c r="A16" s="38"/>
      <c r="B16" s="326" t="s">
        <v>81</v>
      </c>
      <c r="C16" s="326"/>
      <c r="D16" s="326"/>
      <c r="E16" s="326"/>
      <c r="F16" s="326"/>
      <c r="G16" s="326"/>
      <c r="H16" s="326"/>
      <c r="I16" s="326"/>
      <c r="J16" s="50"/>
      <c r="O16" s="44" t="s">
        <v>9</v>
      </c>
      <c r="P16" s="51" t="s">
        <v>10</v>
      </c>
      <c r="Q16" s="52" t="s">
        <v>5</v>
      </c>
      <c r="R16" s="49"/>
    </row>
    <row r="17" spans="10:18" ht="12.75" customHeight="1">
      <c r="J17" s="50"/>
      <c r="O17" s="44" t="s">
        <v>8</v>
      </c>
      <c r="P17" s="51" t="s">
        <v>69</v>
      </c>
      <c r="Q17" s="52" t="s">
        <v>5</v>
      </c>
      <c r="R17" s="54">
        <v>1436057</v>
      </c>
    </row>
    <row r="18" spans="2:18" ht="12.75" customHeight="1">
      <c r="B18" s="37"/>
      <c r="C18" s="37"/>
      <c r="D18" s="37"/>
      <c r="E18" s="37"/>
      <c r="F18" s="37"/>
      <c r="G18" s="37"/>
      <c r="H18" s="37"/>
      <c r="I18" s="37"/>
      <c r="J18" s="50"/>
      <c r="O18" s="44" t="s">
        <v>11</v>
      </c>
      <c r="P18" s="51" t="s">
        <v>70</v>
      </c>
      <c r="Q18" s="52" t="s">
        <v>5</v>
      </c>
      <c r="R18" s="54">
        <v>435973</v>
      </c>
    </row>
    <row r="19" spans="2:18" ht="12.75" customHeight="1">
      <c r="B19" s="327" t="s">
        <v>283</v>
      </c>
      <c r="C19" s="326"/>
      <c r="D19" s="326"/>
      <c r="E19" s="326"/>
      <c r="F19" s="326"/>
      <c r="G19" s="326"/>
      <c r="H19" s="326"/>
      <c r="I19" s="326"/>
      <c r="J19" s="50"/>
      <c r="O19" s="35" t="s">
        <v>46</v>
      </c>
      <c r="Q19" s="52" t="s">
        <v>5</v>
      </c>
      <c r="R19" s="55">
        <f>SUM(R15:R18)</f>
        <v>1875530</v>
      </c>
    </row>
    <row r="20" spans="3:10" ht="12.75" customHeight="1">
      <c r="C20" s="316" t="s">
        <v>82</v>
      </c>
      <c r="D20" s="316"/>
      <c r="F20" s="320">
        <v>42907</v>
      </c>
      <c r="G20" s="320"/>
      <c r="H20" s="320"/>
      <c r="J20" s="50"/>
    </row>
    <row r="21" spans="3:10" ht="12.75" customHeight="1">
      <c r="C21" s="316" t="s">
        <v>83</v>
      </c>
      <c r="D21" s="316"/>
      <c r="F21" s="321">
        <v>42928</v>
      </c>
      <c r="G21" s="321"/>
      <c r="H21" s="321"/>
      <c r="I21" s="18"/>
      <c r="J21" s="50"/>
    </row>
    <row r="22" spans="1:18" ht="12.75" customHeight="1">
      <c r="A22" s="39"/>
      <c r="C22" s="316" t="s">
        <v>84</v>
      </c>
      <c r="D22" s="316"/>
      <c r="F22" s="321">
        <v>42998</v>
      </c>
      <c r="G22" s="321"/>
      <c r="H22" s="321"/>
      <c r="J22" s="56"/>
      <c r="L22" s="337"/>
      <c r="M22" s="337"/>
      <c r="N22" s="337"/>
      <c r="O22" s="337"/>
      <c r="P22" s="337"/>
      <c r="Q22" s="337"/>
      <c r="R22" s="337"/>
    </row>
    <row r="23" spans="6:21" ht="12.75" customHeight="1">
      <c r="F23" s="319" t="s">
        <v>85</v>
      </c>
      <c r="G23" s="319"/>
      <c r="H23" s="319"/>
      <c r="I23" s="18"/>
      <c r="J23" s="50"/>
      <c r="N23" s="338"/>
      <c r="O23" s="338"/>
      <c r="R23" s="339"/>
      <c r="S23" s="339"/>
      <c r="T23" s="339"/>
      <c r="U23" s="339"/>
    </row>
    <row r="24" spans="2:18" ht="12.75" customHeight="1">
      <c r="B24" s="57"/>
      <c r="E24" s="58"/>
      <c r="I24" s="18"/>
      <c r="J24" s="50"/>
      <c r="L24" s="17"/>
      <c r="M24" s="17"/>
      <c r="N24" s="17"/>
      <c r="O24" s="17"/>
      <c r="P24" s="17"/>
      <c r="Q24" s="17"/>
      <c r="R24" s="17"/>
    </row>
    <row r="25" spans="1:18" ht="12.75" customHeight="1">
      <c r="A25" s="313" t="s">
        <v>307</v>
      </c>
      <c r="B25" s="313"/>
      <c r="C25" s="313"/>
      <c r="D25" s="313"/>
      <c r="E25" s="313"/>
      <c r="F25" s="313"/>
      <c r="G25" s="313"/>
      <c r="H25" s="313"/>
      <c r="I25" s="313"/>
      <c r="J25" s="314"/>
      <c r="L25" s="342" t="s">
        <v>140</v>
      </c>
      <c r="M25" s="342"/>
      <c r="N25" s="342"/>
      <c r="O25" s="349" t="s">
        <v>343</v>
      </c>
      <c r="P25" s="350"/>
      <c r="Q25" s="350"/>
      <c r="R25" s="350"/>
    </row>
    <row r="26" spans="1:18" ht="12.75" customHeight="1">
      <c r="A26" s="313" t="s">
        <v>308</v>
      </c>
      <c r="B26" s="313"/>
      <c r="C26" s="313"/>
      <c r="D26" s="313"/>
      <c r="E26" s="313"/>
      <c r="F26" s="313"/>
      <c r="G26" s="313"/>
      <c r="H26" s="313"/>
      <c r="I26" s="313"/>
      <c r="J26" s="314"/>
      <c r="L26" s="59" t="s">
        <v>138</v>
      </c>
      <c r="M26" s="349" t="s">
        <v>344</v>
      </c>
      <c r="N26" s="350"/>
      <c r="O26" s="52" t="s">
        <v>139</v>
      </c>
      <c r="P26" s="344" t="s">
        <v>345</v>
      </c>
      <c r="Q26" s="345"/>
      <c r="R26" s="345"/>
    </row>
    <row r="27" spans="1:10" ht="12.75" customHeight="1">
      <c r="A27" s="313" t="s">
        <v>329</v>
      </c>
      <c r="B27" s="313"/>
      <c r="C27" s="313"/>
      <c r="D27" s="313"/>
      <c r="E27" s="313"/>
      <c r="F27" s="313"/>
      <c r="G27" s="313"/>
      <c r="H27" s="313"/>
      <c r="I27" s="313"/>
      <c r="J27" s="314"/>
    </row>
    <row r="28" spans="2:10" ht="12.75" customHeight="1">
      <c r="B28" s="38"/>
      <c r="C28" s="57"/>
      <c r="D28" s="61"/>
      <c r="E28" s="37"/>
      <c r="F28" s="39"/>
      <c r="G28" s="62"/>
      <c r="H28" s="60"/>
      <c r="I28" s="60"/>
      <c r="J28" s="46"/>
    </row>
    <row r="29" spans="1:18" ht="12.75" customHeight="1">
      <c r="A29" s="318"/>
      <c r="B29" s="318"/>
      <c r="C29" s="318"/>
      <c r="D29" s="318"/>
      <c r="E29" s="318"/>
      <c r="F29" s="38"/>
      <c r="G29" s="317"/>
      <c r="H29" s="317"/>
      <c r="I29" s="317"/>
      <c r="J29" s="46"/>
      <c r="L29" s="351" t="s">
        <v>295</v>
      </c>
      <c r="M29" s="352"/>
      <c r="N29" s="352"/>
      <c r="O29" s="352"/>
      <c r="P29" s="352"/>
      <c r="Q29" s="352"/>
      <c r="R29" s="352"/>
    </row>
    <row r="30" spans="1:18" ht="12.75" customHeight="1">
      <c r="A30" s="37"/>
      <c r="B30" s="37"/>
      <c r="C30" s="37"/>
      <c r="D30" s="37"/>
      <c r="E30" s="37"/>
      <c r="F30" s="37"/>
      <c r="G30" s="37"/>
      <c r="H30" s="60"/>
      <c r="I30" s="60"/>
      <c r="J30" s="46"/>
      <c r="L30" s="346">
        <v>43003</v>
      </c>
      <c r="M30" s="346"/>
      <c r="N30" s="347" t="s">
        <v>87</v>
      </c>
      <c r="O30" s="347"/>
      <c r="P30" s="347"/>
      <c r="Q30" s="347"/>
      <c r="R30" s="347"/>
    </row>
    <row r="31" spans="1:18" ht="12.75" customHeight="1">
      <c r="A31" s="318"/>
      <c r="B31" s="318"/>
      <c r="C31" s="318"/>
      <c r="D31" s="318"/>
      <c r="E31" s="318"/>
      <c r="F31" s="38"/>
      <c r="G31" s="317"/>
      <c r="H31" s="317"/>
      <c r="I31" s="317"/>
      <c r="J31" s="50"/>
      <c r="L31" s="37"/>
      <c r="M31" s="63"/>
      <c r="N31" s="63"/>
      <c r="O31" s="63"/>
      <c r="P31" s="63"/>
      <c r="Q31" s="63"/>
      <c r="R31" s="63"/>
    </row>
    <row r="32" spans="1:18" ht="12.75" customHeight="1">
      <c r="A32" s="40"/>
      <c r="B32" s="40"/>
      <c r="C32" s="40"/>
      <c r="D32" s="40"/>
      <c r="E32" s="40"/>
      <c r="F32" s="37"/>
      <c r="G32" s="40"/>
      <c r="H32" s="18"/>
      <c r="I32" s="18"/>
      <c r="J32" s="50"/>
      <c r="L32" s="348"/>
      <c r="M32" s="348"/>
      <c r="N32" s="348"/>
      <c r="O32" s="64"/>
      <c r="P32" s="65"/>
      <c r="Q32" s="65"/>
      <c r="R32" s="65"/>
    </row>
    <row r="33" spans="1:18" ht="12.75" customHeight="1">
      <c r="A33" s="318"/>
      <c r="B33" s="318"/>
      <c r="C33" s="318"/>
      <c r="D33" s="318"/>
      <c r="E33" s="318"/>
      <c r="F33" s="38"/>
      <c r="G33" s="317"/>
      <c r="H33" s="317"/>
      <c r="I33" s="317"/>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8"/>
      <c r="B35" s="318"/>
      <c r="C35" s="318"/>
      <c r="D35" s="318"/>
      <c r="E35" s="318"/>
      <c r="F35" s="38"/>
      <c r="G35" s="317"/>
      <c r="H35" s="317"/>
      <c r="I35" s="317"/>
      <c r="J35" s="66"/>
      <c r="L35" s="318"/>
      <c r="M35" s="318"/>
      <c r="N35" s="318"/>
      <c r="P35" s="318"/>
      <c r="Q35" s="318"/>
      <c r="R35" s="318"/>
    </row>
    <row r="36" spans="1:18" s="35" customFormat="1" ht="12.75" customHeight="1">
      <c r="A36" s="37"/>
      <c r="B36" s="37"/>
      <c r="C36" s="37"/>
      <c r="D36" s="60"/>
      <c r="E36" s="60"/>
      <c r="F36" s="60"/>
      <c r="G36" s="60"/>
      <c r="H36" s="67"/>
      <c r="I36" s="67"/>
      <c r="J36" s="66"/>
      <c r="L36" s="343" t="s">
        <v>253</v>
      </c>
      <c r="M36" s="319"/>
      <c r="N36" s="319"/>
      <c r="P36" s="343" t="s">
        <v>253</v>
      </c>
      <c r="Q36" s="319"/>
      <c r="R36" s="319"/>
    </row>
    <row r="37" spans="1:10" s="37" customFormat="1" ht="12.75" customHeight="1">
      <c r="A37" s="318"/>
      <c r="B37" s="318"/>
      <c r="C37" s="318"/>
      <c r="D37" s="318"/>
      <c r="E37" s="318"/>
      <c r="F37" s="38"/>
      <c r="G37" s="317"/>
      <c r="H37" s="317"/>
      <c r="I37" s="317"/>
      <c r="J37" s="66"/>
    </row>
    <row r="38" spans="1:10" s="35" customFormat="1" ht="12.75" customHeight="1">
      <c r="A38" s="37"/>
      <c r="B38" s="37"/>
      <c r="C38" s="37"/>
      <c r="D38" s="60"/>
      <c r="E38" s="60"/>
      <c r="F38" s="60"/>
      <c r="G38" s="60"/>
      <c r="H38" s="67"/>
      <c r="I38" s="67"/>
      <c r="J38" s="66"/>
    </row>
    <row r="39" spans="1:18" s="37" customFormat="1" ht="12.75" customHeight="1">
      <c r="A39" s="318"/>
      <c r="B39" s="318"/>
      <c r="C39" s="318"/>
      <c r="D39" s="318"/>
      <c r="E39" s="318"/>
      <c r="F39" s="38"/>
      <c r="G39" s="317"/>
      <c r="H39" s="317"/>
      <c r="I39" s="317"/>
      <c r="J39" s="66"/>
      <c r="L39" s="333" t="s">
        <v>346</v>
      </c>
      <c r="M39" s="315"/>
      <c r="N39" s="315"/>
      <c r="O39" s="65"/>
      <c r="P39" s="333" t="s">
        <v>347</v>
      </c>
      <c r="Q39" s="315"/>
      <c r="R39" s="315"/>
    </row>
    <row r="40" spans="1:18" s="35" customFormat="1" ht="12.75" customHeight="1">
      <c r="A40" s="37"/>
      <c r="B40" s="37"/>
      <c r="C40" s="37"/>
      <c r="D40" s="60"/>
      <c r="E40" s="60"/>
      <c r="F40" s="60"/>
      <c r="G40" s="60"/>
      <c r="H40" s="67"/>
      <c r="I40" s="67"/>
      <c r="J40" s="66"/>
      <c r="L40" s="343" t="s">
        <v>255</v>
      </c>
      <c r="M40" s="319"/>
      <c r="N40" s="319"/>
      <c r="O40" s="65"/>
      <c r="P40" s="343" t="s">
        <v>255</v>
      </c>
      <c r="Q40" s="319"/>
      <c r="R40" s="319"/>
    </row>
    <row r="41" spans="1:18" s="37" customFormat="1" ht="12.75" customHeight="1">
      <c r="A41" s="318"/>
      <c r="B41" s="318"/>
      <c r="C41" s="318"/>
      <c r="D41" s="318"/>
      <c r="E41" s="318"/>
      <c r="F41" s="38"/>
      <c r="G41" s="317"/>
      <c r="H41" s="317"/>
      <c r="I41" s="317"/>
      <c r="J41" s="66"/>
      <c r="M41" s="65"/>
      <c r="N41" s="65"/>
      <c r="O41" s="65"/>
      <c r="P41" s="65"/>
      <c r="Q41" s="65"/>
      <c r="R41" s="65"/>
    </row>
    <row r="42" spans="1:18" s="35" customFormat="1" ht="12.75" customHeight="1">
      <c r="A42" s="319" t="s">
        <v>86</v>
      </c>
      <c r="B42" s="319"/>
      <c r="C42" s="319"/>
      <c r="D42" s="319"/>
      <c r="E42" s="319"/>
      <c r="F42" s="38"/>
      <c r="G42" s="319" t="s">
        <v>43</v>
      </c>
      <c r="H42" s="319"/>
      <c r="I42" s="319"/>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sheet="1"/>
  <mergeCells count="63">
    <mergeCell ref="L40:N40"/>
    <mergeCell ref="L30:M30"/>
    <mergeCell ref="N30:R30"/>
    <mergeCell ref="L32:N32"/>
    <mergeCell ref="L35:N35"/>
    <mergeCell ref="O25:R25"/>
    <mergeCell ref="P40:R40"/>
    <mergeCell ref="L39:N39"/>
    <mergeCell ref="L29:R29"/>
    <mergeCell ref="M26:N26"/>
    <mergeCell ref="L25:N25"/>
    <mergeCell ref="P36:R36"/>
    <mergeCell ref="P35:R35"/>
    <mergeCell ref="P39:R39"/>
    <mergeCell ref="P26:R26"/>
    <mergeCell ref="L36:N36"/>
    <mergeCell ref="B11:I11"/>
    <mergeCell ref="L13:Q13"/>
    <mergeCell ref="L11:P11"/>
    <mergeCell ref="L22:R22"/>
    <mergeCell ref="N23:O23"/>
    <mergeCell ref="R23:U23"/>
    <mergeCell ref="B13:I13"/>
    <mergeCell ref="A1:C1"/>
    <mergeCell ref="B6:I6"/>
    <mergeCell ref="B8:I8"/>
    <mergeCell ref="B10:I10"/>
    <mergeCell ref="D1:I1"/>
    <mergeCell ref="D2:I2"/>
    <mergeCell ref="D3:I3"/>
    <mergeCell ref="D4:I4"/>
    <mergeCell ref="A42:E42"/>
    <mergeCell ref="G37:I37"/>
    <mergeCell ref="G39:I39"/>
    <mergeCell ref="A37:E37"/>
    <mergeCell ref="A39:E39"/>
    <mergeCell ref="G41:I41"/>
    <mergeCell ref="O1:Q1"/>
    <mergeCell ref="J10:J11"/>
    <mergeCell ref="M1:N1"/>
    <mergeCell ref="G29:I29"/>
    <mergeCell ref="G31:I31"/>
    <mergeCell ref="G42:I42"/>
    <mergeCell ref="F22:H22"/>
    <mergeCell ref="B16:I16"/>
    <mergeCell ref="B19:I19"/>
    <mergeCell ref="A41:E41"/>
    <mergeCell ref="G35:I35"/>
    <mergeCell ref="A33:E33"/>
    <mergeCell ref="F23:H23"/>
    <mergeCell ref="G33:I33"/>
    <mergeCell ref="F20:H20"/>
    <mergeCell ref="C22:D22"/>
    <mergeCell ref="A35:E35"/>
    <mergeCell ref="A29:E29"/>
    <mergeCell ref="A31:E31"/>
    <mergeCell ref="F21:H21"/>
    <mergeCell ref="A26:J26"/>
    <mergeCell ref="A27:J27"/>
    <mergeCell ref="A25:J25"/>
    <mergeCell ref="D12:H12"/>
    <mergeCell ref="C20:D20"/>
    <mergeCell ref="C21:D21"/>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fitToHeight="1" fitToWidth="1" horizontalDpi="600" verticalDpi="600" orientation="landscape" scale="78"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52"/>
  <sheetViews>
    <sheetView showGridLines="0" zoomScale="80" zoomScaleNormal="80" workbookViewId="0" topLeftCell="A16">
      <selection activeCell="L17" sqref="L17:L22"/>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3" t="str">
        <f>Cover!D1</f>
        <v>Pima Prevention Partnership </v>
      </c>
      <c r="E1" s="353"/>
      <c r="F1" s="353"/>
      <c r="H1" s="70" t="s">
        <v>54</v>
      </c>
      <c r="I1" s="354" t="str">
        <f>Cover!M1</f>
        <v>Maricopa</v>
      </c>
      <c r="J1" s="354"/>
      <c r="L1" s="70" t="s">
        <v>91</v>
      </c>
      <c r="M1" s="355" t="str">
        <f>Cover!R1</f>
        <v>108507000</v>
      </c>
      <c r="N1" s="355"/>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6"/>
      <c r="F4" s="85"/>
      <c r="G4" s="264" t="s">
        <v>14</v>
      </c>
      <c r="H4" s="84" t="s">
        <v>18</v>
      </c>
      <c r="J4" s="85"/>
      <c r="K4" s="278" t="s">
        <v>250</v>
      </c>
      <c r="L4" s="84" t="s">
        <v>63</v>
      </c>
      <c r="M4" s="98" t="s">
        <v>64</v>
      </c>
      <c r="N4" s="123"/>
    </row>
    <row r="5" spans="4:14" ht="12" customHeight="1">
      <c r="D5" s="356"/>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v>215184</v>
      </c>
      <c r="G8" s="106">
        <v>74411</v>
      </c>
      <c r="H8" s="106">
        <v>54000</v>
      </c>
      <c r="I8" s="106">
        <v>5800</v>
      </c>
      <c r="J8" s="168">
        <v>700</v>
      </c>
      <c r="K8" s="170">
        <f>[1]!SP1000P100F1000</f>
        <v>257733</v>
      </c>
      <c r="L8" s="171">
        <f>SUM(F8:J8)</f>
        <v>350095</v>
      </c>
      <c r="M8" s="172">
        <f>IF(K8=0," ",(L8-K8)/K8)</f>
        <v>0.358</v>
      </c>
      <c r="N8" s="2">
        <v>1</v>
      </c>
    </row>
    <row r="9" spans="2:14" ht="12" customHeight="1">
      <c r="B9" s="17" t="s">
        <v>24</v>
      </c>
      <c r="E9" s="124"/>
      <c r="F9" s="128"/>
      <c r="G9" s="128"/>
      <c r="H9" s="128"/>
      <c r="I9" s="128"/>
      <c r="J9" s="130"/>
      <c r="K9" s="77"/>
      <c r="L9" s="77"/>
      <c r="M9" s="77"/>
      <c r="N9" s="2"/>
    </row>
    <row r="10" spans="2:14" ht="12" customHeight="1">
      <c r="B10" s="17" t="s">
        <v>131</v>
      </c>
      <c r="E10" s="124">
        <v>2</v>
      </c>
      <c r="F10" s="106">
        <v>102601</v>
      </c>
      <c r="G10" s="106">
        <v>35479</v>
      </c>
      <c r="H10" s="106">
        <v>9678</v>
      </c>
      <c r="I10" s="106">
        <v>5815</v>
      </c>
      <c r="J10" s="168">
        <v>6515</v>
      </c>
      <c r="K10" s="106">
        <f>[1]!SP1000P100F2100</f>
        <v>193474</v>
      </c>
      <c r="L10" s="108">
        <f>SUM(F10:J10)</f>
        <v>160088</v>
      </c>
      <c r="M10" s="167">
        <f>IF(K10=0," ",(L10-K10)/K10)</f>
        <v>-0.173</v>
      </c>
      <c r="N10" s="2">
        <v>2</v>
      </c>
    </row>
    <row r="11" spans="2:14" ht="12" customHeight="1">
      <c r="B11" s="17" t="s">
        <v>149</v>
      </c>
      <c r="E11" s="124">
        <v>3</v>
      </c>
      <c r="F11" s="25">
        <v>25000</v>
      </c>
      <c r="G11" s="25">
        <v>8645</v>
      </c>
      <c r="H11" s="25">
        <v>19300</v>
      </c>
      <c r="I11" s="25">
        <v>2500</v>
      </c>
      <c r="J11" s="25"/>
      <c r="K11" s="25">
        <f>[1]!SP1000P100F2200</f>
        <v>31241</v>
      </c>
      <c r="L11" s="6">
        <f aca="true" t="shared" si="0" ref="L11:L23">SUM(F11:J11)</f>
        <v>55445</v>
      </c>
      <c r="M11" s="12">
        <f aca="true" t="shared" si="1" ref="M11:M23">IF(K11=0," ",(L11-K11)/K11)</f>
        <v>0.775</v>
      </c>
      <c r="N11" s="91">
        <v>3</v>
      </c>
    </row>
    <row r="12" spans="2:14" ht="12" customHeight="1">
      <c r="B12" s="17" t="s">
        <v>25</v>
      </c>
      <c r="E12" s="124">
        <v>4</v>
      </c>
      <c r="F12" s="25"/>
      <c r="G12" s="25"/>
      <c r="H12" s="25">
        <v>3483</v>
      </c>
      <c r="I12" s="25">
        <v>2500</v>
      </c>
      <c r="J12" s="25">
        <v>5000</v>
      </c>
      <c r="K12" s="26">
        <f>[1]!SP1000P100F2300</f>
        <v>10983</v>
      </c>
      <c r="L12" s="6">
        <f t="shared" si="0"/>
        <v>10983</v>
      </c>
      <c r="M12" s="12">
        <f t="shared" si="1"/>
        <v>0</v>
      </c>
      <c r="N12" s="91">
        <v>4</v>
      </c>
    </row>
    <row r="13" spans="2:14" ht="12" customHeight="1">
      <c r="B13" s="17" t="s">
        <v>26</v>
      </c>
      <c r="E13" s="124">
        <v>5</v>
      </c>
      <c r="F13" s="25">
        <v>63272</v>
      </c>
      <c r="G13" s="25">
        <v>21879</v>
      </c>
      <c r="H13" s="25">
        <v>68980</v>
      </c>
      <c r="I13" s="25">
        <v>23000</v>
      </c>
      <c r="J13" s="25">
        <v>6000</v>
      </c>
      <c r="K13" s="26">
        <f>[1]!SP1000P100F2400</f>
        <v>233925</v>
      </c>
      <c r="L13" s="6">
        <f t="shared" si="0"/>
        <v>183131</v>
      </c>
      <c r="M13" s="12">
        <f t="shared" si="1"/>
        <v>-0.217</v>
      </c>
      <c r="N13" s="91">
        <v>5</v>
      </c>
    </row>
    <row r="14" spans="2:14" ht="12" customHeight="1">
      <c r="B14" s="17" t="s">
        <v>150</v>
      </c>
      <c r="E14" s="124">
        <v>6</v>
      </c>
      <c r="F14" s="25">
        <v>8901</v>
      </c>
      <c r="G14" s="25">
        <v>3649</v>
      </c>
      <c r="H14" s="25">
        <f>51100-15000</f>
        <v>36100</v>
      </c>
      <c r="I14" s="25">
        <v>100</v>
      </c>
      <c r="J14" s="25">
        <v>0</v>
      </c>
      <c r="K14" s="26">
        <f>[1]!SP1000P100F2500</f>
        <v>36000</v>
      </c>
      <c r="L14" s="6">
        <f>SUM(F14:J14)</f>
        <v>48750</v>
      </c>
      <c r="M14" s="12">
        <f t="shared" si="1"/>
        <v>0.354</v>
      </c>
      <c r="N14" s="91">
        <v>6</v>
      </c>
    </row>
    <row r="15" spans="2:14" ht="12" customHeight="1">
      <c r="B15" s="17" t="s">
        <v>151</v>
      </c>
      <c r="E15" s="124">
        <v>7</v>
      </c>
      <c r="F15" s="25"/>
      <c r="G15" s="25"/>
      <c r="H15" s="25">
        <f>293174-27645</f>
        <v>265529</v>
      </c>
      <c r="I15" s="25">
        <f>7000-3000</f>
        <v>4000</v>
      </c>
      <c r="J15" s="25">
        <v>2343</v>
      </c>
      <c r="K15" s="26">
        <f>[1]!SP1000P100F2600</f>
        <v>293811</v>
      </c>
      <c r="L15" s="6">
        <f t="shared" si="0"/>
        <v>271872</v>
      </c>
      <c r="M15" s="12">
        <f t="shared" si="1"/>
        <v>-0.075</v>
      </c>
      <c r="N15" s="91">
        <v>7</v>
      </c>
    </row>
    <row r="16" spans="2:14" ht="12" customHeight="1">
      <c r="B16" s="17" t="s">
        <v>76</v>
      </c>
      <c r="E16" s="124">
        <v>8</v>
      </c>
      <c r="F16" s="25"/>
      <c r="G16" s="25"/>
      <c r="H16" s="25"/>
      <c r="I16" s="25"/>
      <c r="J16" s="25"/>
      <c r="K16" s="26">
        <f>[1]!SP1000P100F2900</f>
        <v>0</v>
      </c>
      <c r="L16" s="6">
        <f t="shared" si="0"/>
        <v>0</v>
      </c>
      <c r="M16" s="12" t="str">
        <f t="shared" si="1"/>
        <v> </v>
      </c>
      <c r="N16" s="91">
        <v>8</v>
      </c>
    </row>
    <row r="17" spans="2:14" ht="12" customHeight="1">
      <c r="B17" s="17" t="s">
        <v>27</v>
      </c>
      <c r="E17" s="124">
        <v>9</v>
      </c>
      <c r="F17" s="25">
        <v>5715</v>
      </c>
      <c r="G17" s="25">
        <v>1976</v>
      </c>
      <c r="H17" s="25">
        <v>63900</v>
      </c>
      <c r="I17" s="25"/>
      <c r="J17" s="25"/>
      <c r="K17" s="26">
        <f>[1]!SP1000P100F3000</f>
        <v>61500</v>
      </c>
      <c r="L17" s="6">
        <f t="shared" si="0"/>
        <v>71591</v>
      </c>
      <c r="M17" s="12">
        <f t="shared" si="1"/>
        <v>0.164</v>
      </c>
      <c r="N17" s="91">
        <v>9</v>
      </c>
    </row>
    <row r="18" spans="2:14" ht="12" customHeight="1">
      <c r="B18" s="17" t="s">
        <v>152</v>
      </c>
      <c r="E18" s="3">
        <v>10</v>
      </c>
      <c r="F18" s="25"/>
      <c r="G18" s="25"/>
      <c r="H18" s="25"/>
      <c r="I18" s="25"/>
      <c r="J18" s="25"/>
      <c r="K18" s="26">
        <f>[1]!SP1000P100F4000</f>
        <v>0</v>
      </c>
      <c r="L18" s="6">
        <f t="shared" si="0"/>
        <v>0</v>
      </c>
      <c r="M18" s="12" t="str">
        <f t="shared" si="1"/>
        <v> </v>
      </c>
      <c r="N18" s="91">
        <v>10</v>
      </c>
    </row>
    <row r="19" spans="1:14" ht="12" customHeight="1">
      <c r="A19" s="14"/>
      <c r="B19" s="14" t="s">
        <v>28</v>
      </c>
      <c r="C19" s="14"/>
      <c r="D19" s="14"/>
      <c r="E19" s="21">
        <v>11</v>
      </c>
      <c r="F19" s="125"/>
      <c r="G19" s="25"/>
      <c r="H19" s="25"/>
      <c r="I19" s="25"/>
      <c r="J19" s="25"/>
      <c r="K19" s="26">
        <f>[1]!SP1000P100F5000</f>
        <v>0</v>
      </c>
      <c r="L19" s="6">
        <f t="shared" si="0"/>
        <v>0</v>
      </c>
      <c r="M19" s="12" t="str">
        <f t="shared" si="1"/>
        <v> </v>
      </c>
      <c r="N19" s="91">
        <v>11</v>
      </c>
    </row>
    <row r="20" spans="1:14" ht="12" customHeight="1">
      <c r="A20" s="14" t="s">
        <v>77</v>
      </c>
      <c r="B20" s="14"/>
      <c r="C20" s="14"/>
      <c r="D20" s="14"/>
      <c r="E20" s="21">
        <v>12</v>
      </c>
      <c r="F20" s="125"/>
      <c r="G20" s="25"/>
      <c r="H20" s="25"/>
      <c r="I20" s="25"/>
      <c r="J20" s="25"/>
      <c r="K20" s="25">
        <f>[1]!SP1000P610</f>
        <v>0</v>
      </c>
      <c r="L20" s="6">
        <f t="shared" si="0"/>
        <v>0</v>
      </c>
      <c r="M20" s="12" t="str">
        <f t="shared" si="1"/>
        <v> </v>
      </c>
      <c r="N20" s="91">
        <v>12</v>
      </c>
    </row>
    <row r="21" spans="1:14" ht="12" customHeight="1">
      <c r="A21" s="14" t="s">
        <v>79</v>
      </c>
      <c r="B21" s="14"/>
      <c r="C21" s="14"/>
      <c r="D21" s="14"/>
      <c r="E21" s="21">
        <v>13</v>
      </c>
      <c r="F21" s="125"/>
      <c r="G21" s="25"/>
      <c r="H21" s="25"/>
      <c r="I21" s="25"/>
      <c r="J21" s="25"/>
      <c r="K21" s="25">
        <f>[1]!SP1000P620</f>
        <v>0</v>
      </c>
      <c r="L21" s="6">
        <f>SUM(F21:J21)</f>
        <v>0</v>
      </c>
      <c r="M21" s="12" t="str">
        <f t="shared" si="1"/>
        <v> </v>
      </c>
      <c r="N21" s="91">
        <v>13</v>
      </c>
    </row>
    <row r="22" spans="1:14" ht="12" customHeight="1">
      <c r="A22" s="14" t="s">
        <v>78</v>
      </c>
      <c r="B22" s="14"/>
      <c r="C22" s="14"/>
      <c r="D22" s="14"/>
      <c r="E22" s="21">
        <v>14</v>
      </c>
      <c r="F22" s="125"/>
      <c r="G22" s="25"/>
      <c r="H22" s="25"/>
      <c r="I22" s="25">
        <v>10000</v>
      </c>
      <c r="J22" s="25">
        <v>5000</v>
      </c>
      <c r="K22" s="25">
        <f>[1]!SP1000P630700800900</f>
        <v>15000</v>
      </c>
      <c r="L22" s="6">
        <f t="shared" si="0"/>
        <v>15000</v>
      </c>
      <c r="M22" s="12">
        <f t="shared" si="1"/>
        <v>0</v>
      </c>
      <c r="N22" s="91">
        <v>14</v>
      </c>
    </row>
    <row r="23" spans="1:14" ht="12" customHeight="1">
      <c r="A23" s="31"/>
      <c r="B23" s="31" t="s">
        <v>144</v>
      </c>
      <c r="C23" s="31"/>
      <c r="D23" s="31"/>
      <c r="E23" s="23">
        <v>15</v>
      </c>
      <c r="F23" s="6">
        <f>SUM(F7:F22)</f>
        <v>420673</v>
      </c>
      <c r="G23" s="6">
        <f>SUM(G7:G22)</f>
        <v>146039</v>
      </c>
      <c r="H23" s="6">
        <f>SUM(H7:H22)</f>
        <v>520970</v>
      </c>
      <c r="I23" s="6">
        <f>SUM(I7:I22)</f>
        <v>53715</v>
      </c>
      <c r="J23" s="6">
        <f>SUM(J7:J22)</f>
        <v>25558</v>
      </c>
      <c r="K23" s="164">
        <f>SUM(K8:K22)</f>
        <v>1133667</v>
      </c>
      <c r="L23" s="164">
        <f t="shared" si="0"/>
        <v>1166955</v>
      </c>
      <c r="M23" s="12">
        <f t="shared" si="1"/>
        <v>0.029</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c r="G25" s="106"/>
      <c r="H25" s="106">
        <v>18000</v>
      </c>
      <c r="I25" s="106">
        <v>5000</v>
      </c>
      <c r="J25" s="168"/>
      <c r="K25" s="106">
        <f>[1]!SP1000P200F1000</f>
        <v>39100</v>
      </c>
      <c r="L25" s="108">
        <f>SUM(F25:J25)</f>
        <v>23000</v>
      </c>
      <c r="M25" s="237">
        <f>IF(K25=0," ",(L25-K25)/K25)</f>
        <v>-0.412</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v>15000</v>
      </c>
      <c r="G27" s="106">
        <v>5183</v>
      </c>
      <c r="H27" s="106">
        <v>23500</v>
      </c>
      <c r="I27" s="106">
        <v>500</v>
      </c>
      <c r="J27" s="168"/>
      <c r="K27" s="106">
        <f>[1]!SP1000P200F2100</f>
        <v>33509</v>
      </c>
      <c r="L27" s="108">
        <f>SUM(F27:J27)</f>
        <v>44183</v>
      </c>
      <c r="M27" s="237">
        <f>IF(K27=0," ",(L27-K27)/K27)</f>
        <v>0.319</v>
      </c>
      <c r="N27" s="91">
        <v>17</v>
      </c>
    </row>
    <row r="28" spans="2:14" ht="12" customHeight="1">
      <c r="B28" s="17" t="s">
        <v>149</v>
      </c>
      <c r="E28" s="21">
        <v>18</v>
      </c>
      <c r="F28" s="25">
        <v>0</v>
      </c>
      <c r="G28" s="25">
        <v>0</v>
      </c>
      <c r="H28" s="25">
        <v>0</v>
      </c>
      <c r="I28" s="25">
        <v>0</v>
      </c>
      <c r="J28" s="25">
        <v>0</v>
      </c>
      <c r="K28" s="25">
        <f>[1]!SP1000P200F2200</f>
        <v>40218</v>
      </c>
      <c r="L28" s="6">
        <f aca="true" t="shared" si="2" ref="L28:L42">SUM(F28:J28)</f>
        <v>0</v>
      </c>
      <c r="M28" s="131">
        <f aca="true" t="shared" si="3" ref="M28:M48">IF(K28=0," ",(L28-K28)/K28)</f>
        <v>-1</v>
      </c>
      <c r="N28" s="91">
        <v>18</v>
      </c>
    </row>
    <row r="29" spans="2:14" ht="12" customHeight="1">
      <c r="B29" s="17" t="s">
        <v>25</v>
      </c>
      <c r="E29" s="21">
        <v>19</v>
      </c>
      <c r="F29" s="25"/>
      <c r="G29" s="25"/>
      <c r="H29" s="25"/>
      <c r="I29" s="25"/>
      <c r="J29" s="25"/>
      <c r="K29" s="26">
        <f>[1]!SP1000P200F2300</f>
        <v>0</v>
      </c>
      <c r="L29" s="6">
        <f t="shared" si="2"/>
        <v>0</v>
      </c>
      <c r="M29" s="12" t="str">
        <f t="shared" si="3"/>
        <v> </v>
      </c>
      <c r="N29" s="91">
        <v>19</v>
      </c>
    </row>
    <row r="30" spans="2:14" ht="12" customHeight="1">
      <c r="B30" s="17" t="s">
        <v>26</v>
      </c>
      <c r="E30" s="21">
        <v>20</v>
      </c>
      <c r="F30" s="25"/>
      <c r="G30" s="25"/>
      <c r="H30" s="25"/>
      <c r="I30" s="25"/>
      <c r="J30" s="25"/>
      <c r="K30" s="26">
        <f>[1]!SP1000P200F2400</f>
        <v>0</v>
      </c>
      <c r="L30" s="6">
        <f t="shared" si="2"/>
        <v>0</v>
      </c>
      <c r="M30" s="12" t="str">
        <f t="shared" si="3"/>
        <v> </v>
      </c>
      <c r="N30" s="91">
        <v>20</v>
      </c>
    </row>
    <row r="31" spans="2:14" ht="12" customHeight="1">
      <c r="B31" s="17" t="s">
        <v>150</v>
      </c>
      <c r="E31" s="21">
        <v>21</v>
      </c>
      <c r="F31" s="25"/>
      <c r="G31" s="25"/>
      <c r="H31" s="25">
        <v>15000</v>
      </c>
      <c r="I31" s="25"/>
      <c r="J31" s="25"/>
      <c r="K31" s="26">
        <f>[1]!SP1000P200F2500</f>
        <v>0</v>
      </c>
      <c r="L31" s="6">
        <f>SUM(F31:J31)</f>
        <v>15000</v>
      </c>
      <c r="M31" s="12" t="str">
        <f t="shared" si="3"/>
        <v> </v>
      </c>
      <c r="N31" s="91">
        <v>21</v>
      </c>
    </row>
    <row r="32" spans="2:14" ht="12" customHeight="1">
      <c r="B32" s="17" t="s">
        <v>151</v>
      </c>
      <c r="E32" s="21">
        <v>22</v>
      </c>
      <c r="F32" s="25"/>
      <c r="G32" s="25"/>
      <c r="H32" s="25">
        <v>27645</v>
      </c>
      <c r="I32" s="25">
        <v>3000</v>
      </c>
      <c r="J32" s="25"/>
      <c r="K32" s="26">
        <f>[1]!SP1000P200F2600</f>
        <v>0</v>
      </c>
      <c r="L32" s="6">
        <f t="shared" si="2"/>
        <v>30645</v>
      </c>
      <c r="M32" s="12" t="str">
        <f t="shared" si="3"/>
        <v> </v>
      </c>
      <c r="N32" s="91">
        <v>22</v>
      </c>
    </row>
    <row r="33" spans="2:14" ht="12" customHeight="1">
      <c r="B33" s="17" t="s">
        <v>76</v>
      </c>
      <c r="E33" s="21">
        <v>23</v>
      </c>
      <c r="F33" s="25"/>
      <c r="G33" s="25"/>
      <c r="H33" s="25"/>
      <c r="I33" s="25"/>
      <c r="J33" s="25"/>
      <c r="K33" s="26">
        <f>[1]!SP1000P200F2900</f>
        <v>0</v>
      </c>
      <c r="L33" s="6">
        <f t="shared" si="2"/>
        <v>0</v>
      </c>
      <c r="M33" s="12" t="str">
        <f t="shared" si="3"/>
        <v> </v>
      </c>
      <c r="N33" s="91">
        <v>23</v>
      </c>
    </row>
    <row r="34" spans="2:18" ht="12" customHeight="1">
      <c r="B34" s="17" t="s">
        <v>27</v>
      </c>
      <c r="E34" s="21">
        <v>24</v>
      </c>
      <c r="F34" s="25"/>
      <c r="G34" s="25"/>
      <c r="H34" s="25"/>
      <c r="I34" s="25"/>
      <c r="J34" s="25"/>
      <c r="K34" s="26">
        <f>[1]!SP1000P200F3000</f>
        <v>0</v>
      </c>
      <c r="L34" s="6">
        <f t="shared" si="2"/>
        <v>0</v>
      </c>
      <c r="M34" s="12" t="str">
        <f t="shared" si="3"/>
        <v> </v>
      </c>
      <c r="N34" s="91">
        <v>24</v>
      </c>
      <c r="R34" s="252"/>
    </row>
    <row r="35" spans="2:14" ht="12" customHeight="1">
      <c r="B35" s="17" t="s">
        <v>152</v>
      </c>
      <c r="E35" s="21">
        <v>25</v>
      </c>
      <c r="F35" s="25"/>
      <c r="G35" s="25"/>
      <c r="H35" s="25"/>
      <c r="I35" s="25"/>
      <c r="J35" s="25"/>
      <c r="K35" s="26">
        <f>[1]!SP1000P200F4000</f>
        <v>0</v>
      </c>
      <c r="L35" s="6">
        <f t="shared" si="2"/>
        <v>0</v>
      </c>
      <c r="M35" s="12" t="str">
        <f t="shared" si="3"/>
        <v> </v>
      </c>
      <c r="N35" s="91">
        <v>25</v>
      </c>
    </row>
    <row r="36" spans="1:14" ht="12" customHeight="1">
      <c r="A36" s="14"/>
      <c r="B36" s="14" t="s">
        <v>28</v>
      </c>
      <c r="C36" s="14"/>
      <c r="D36" s="14"/>
      <c r="E36" s="3">
        <v>26</v>
      </c>
      <c r="F36" s="25"/>
      <c r="G36" s="25"/>
      <c r="H36" s="25"/>
      <c r="I36" s="25"/>
      <c r="J36" s="25"/>
      <c r="K36" s="26">
        <f>[1]!SP1000P200F5000</f>
        <v>0</v>
      </c>
      <c r="L36" s="6">
        <f t="shared" si="2"/>
        <v>0</v>
      </c>
      <c r="M36" s="12" t="str">
        <f t="shared" si="3"/>
        <v> </v>
      </c>
      <c r="N36" s="91">
        <v>26</v>
      </c>
    </row>
    <row r="37" spans="1:14" ht="12" customHeight="1">
      <c r="A37" s="31"/>
      <c r="B37" s="31" t="s">
        <v>88</v>
      </c>
      <c r="C37" s="31"/>
      <c r="D37" s="31"/>
      <c r="E37" s="23">
        <v>27</v>
      </c>
      <c r="F37" s="20">
        <f>SUM(F24:F36)</f>
        <v>15000</v>
      </c>
      <c r="G37" s="20">
        <f>SUM(G24:G36)</f>
        <v>5183</v>
      </c>
      <c r="H37" s="20">
        <f>SUM(H24:H36)</f>
        <v>84145</v>
      </c>
      <c r="I37" s="20">
        <f>SUM(I24:I36)</f>
        <v>8500</v>
      </c>
      <c r="J37" s="20">
        <f>SUM(J24:J36)</f>
        <v>0</v>
      </c>
      <c r="K37" s="20">
        <f>SUM(K25:K36)</f>
        <v>112827</v>
      </c>
      <c r="L37" s="20">
        <f t="shared" si="2"/>
        <v>112828</v>
      </c>
      <c r="M37" s="131">
        <f t="shared" si="3"/>
        <v>0</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c r="G39" s="25"/>
      <c r="H39" s="25">
        <v>6000</v>
      </c>
      <c r="I39" s="25">
        <v>3000</v>
      </c>
      <c r="J39" s="25">
        <v>0</v>
      </c>
      <c r="K39" s="25">
        <f>[1]!SP1000P400</f>
        <v>54764</v>
      </c>
      <c r="L39" s="6">
        <f t="shared" si="2"/>
        <v>9000</v>
      </c>
      <c r="M39" s="12">
        <f t="shared" si="3"/>
        <v>-0.836</v>
      </c>
      <c r="N39" s="91">
        <v>28</v>
      </c>
    </row>
    <row r="40" spans="1:14" ht="12" customHeight="1">
      <c r="A40" s="31" t="s">
        <v>31</v>
      </c>
      <c r="B40" s="31"/>
      <c r="C40" s="31"/>
      <c r="D40" s="31"/>
      <c r="E40" s="5">
        <v>29</v>
      </c>
      <c r="F40" s="25"/>
      <c r="G40" s="25"/>
      <c r="H40" s="25"/>
      <c r="I40" s="25"/>
      <c r="J40" s="25"/>
      <c r="K40" s="26">
        <f>[1]!SP1000P530</f>
        <v>0</v>
      </c>
      <c r="L40" s="6">
        <f>SUM(F40:J40)</f>
        <v>0</v>
      </c>
      <c r="M40" s="12" t="str">
        <f t="shared" si="3"/>
        <v> </v>
      </c>
      <c r="N40" s="91">
        <v>29</v>
      </c>
    </row>
    <row r="41" spans="1:14" ht="12" customHeight="1">
      <c r="A41" s="31" t="s">
        <v>154</v>
      </c>
      <c r="B41" s="31"/>
      <c r="C41" s="31"/>
      <c r="D41" s="31"/>
      <c r="E41" s="5">
        <v>30</v>
      </c>
      <c r="F41" s="25"/>
      <c r="G41" s="25"/>
      <c r="H41" s="25"/>
      <c r="I41" s="25"/>
      <c r="J41" s="25"/>
      <c r="K41" s="26">
        <f>[1]!SP1000P540</f>
        <v>0</v>
      </c>
      <c r="L41" s="6">
        <f t="shared" si="2"/>
        <v>0</v>
      </c>
      <c r="M41" s="12" t="str">
        <f t="shared" si="3"/>
        <v> </v>
      </c>
      <c r="N41" s="91">
        <v>30</v>
      </c>
    </row>
    <row r="42" spans="1:14" ht="12" customHeight="1">
      <c r="A42" s="265" t="s">
        <v>218</v>
      </c>
      <c r="B42" s="260"/>
      <c r="C42" s="260"/>
      <c r="D42" s="260"/>
      <c r="E42" s="5">
        <v>31</v>
      </c>
      <c r="F42" s="25"/>
      <c r="G42" s="25"/>
      <c r="H42" s="25"/>
      <c r="I42" s="25"/>
      <c r="J42" s="25"/>
      <c r="K42" s="26">
        <f>[1]!SP1000P550</f>
        <v>0</v>
      </c>
      <c r="L42" s="6">
        <f t="shared" si="2"/>
        <v>0</v>
      </c>
      <c r="M42" s="12" t="str">
        <f t="shared" si="3"/>
        <v> </v>
      </c>
      <c r="N42" s="91">
        <v>31</v>
      </c>
    </row>
    <row r="43" spans="1:14" ht="12" customHeight="1">
      <c r="A43" s="31"/>
      <c r="B43" s="137" t="s">
        <v>274</v>
      </c>
      <c r="C43" s="31"/>
      <c r="D43" s="31"/>
      <c r="E43" s="5">
        <v>32</v>
      </c>
      <c r="F43" s="6">
        <f aca="true" t="shared" si="4" ref="F43:K43">SUM(F37:F42)+F23</f>
        <v>435673</v>
      </c>
      <c r="G43" s="6">
        <f t="shared" si="4"/>
        <v>151222</v>
      </c>
      <c r="H43" s="6">
        <f t="shared" si="4"/>
        <v>611115</v>
      </c>
      <c r="I43" s="6">
        <f t="shared" si="4"/>
        <v>65215</v>
      </c>
      <c r="J43" s="6">
        <f t="shared" si="4"/>
        <v>25558</v>
      </c>
      <c r="K43" s="6">
        <f t="shared" si="4"/>
        <v>1301258</v>
      </c>
      <c r="L43" s="6">
        <f>SUM(F43:J43)</f>
        <v>1288783</v>
      </c>
      <c r="M43" s="12">
        <f t="shared" si="3"/>
        <v>-0.01</v>
      </c>
      <c r="N43" s="91">
        <v>32</v>
      </c>
    </row>
    <row r="44" spans="1:14" ht="12" customHeight="1">
      <c r="A44" s="137" t="s">
        <v>265</v>
      </c>
      <c r="B44" s="31"/>
      <c r="C44" s="31"/>
      <c r="D44" s="31"/>
      <c r="E44" s="5">
        <v>33</v>
      </c>
      <c r="F44" s="6">
        <f>TotalCSP6100</f>
        <v>43564</v>
      </c>
      <c r="G44" s="6">
        <f>TotalCSP6200</f>
        <v>15064</v>
      </c>
      <c r="H44" s="6">
        <f>TotalCSP630064006500</f>
        <v>0</v>
      </c>
      <c r="I44" s="6">
        <f>TotalCSP6600</f>
        <v>0</v>
      </c>
      <c r="J44" s="127"/>
      <c r="K44" s="25">
        <f>[1]!SP1000ClassSiteProj</f>
        <v>149391</v>
      </c>
      <c r="L44" s="6">
        <f>SUM(F44:J44)</f>
        <v>58628</v>
      </c>
      <c r="M44" s="12">
        <f t="shared" si="3"/>
        <v>-0.608</v>
      </c>
      <c r="N44" s="91">
        <v>33</v>
      </c>
    </row>
    <row r="45" spans="1:14" ht="12" customHeight="1">
      <c r="A45" s="137" t="s">
        <v>266</v>
      </c>
      <c r="B45" s="31"/>
      <c r="C45" s="31"/>
      <c r="D45" s="31"/>
      <c r="E45" s="5">
        <v>34</v>
      </c>
      <c r="F45" s="127"/>
      <c r="G45" s="127"/>
      <c r="H45" s="127"/>
      <c r="I45" s="127"/>
      <c r="J45" s="127"/>
      <c r="K45" s="25">
        <f>[1]!SP1000InstrImpProj</f>
        <v>0</v>
      </c>
      <c r="L45" s="6">
        <f>TotalInstructionalImprovement</f>
        <v>0</v>
      </c>
      <c r="M45" s="12" t="str">
        <f t="shared" si="3"/>
        <v> </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5" t="s">
        <v>311</v>
      </c>
      <c r="B48" s="260"/>
      <c r="C48" s="260"/>
      <c r="D48" s="260"/>
      <c r="E48" s="270">
        <v>37</v>
      </c>
      <c r="F48" s="127"/>
      <c r="G48" s="127"/>
      <c r="H48" s="127"/>
      <c r="I48" s="127"/>
      <c r="J48" s="127"/>
      <c r="K48" s="26">
        <f>[1]!SP1000FedStProj</f>
        <v>409975</v>
      </c>
      <c r="L48" s="6">
        <f>FederalandStateProjectsTotal</f>
        <v>367044</v>
      </c>
      <c r="M48" s="12">
        <f t="shared" si="3"/>
        <v>-0.105</v>
      </c>
      <c r="N48" s="91">
        <v>37</v>
      </c>
    </row>
    <row r="49" spans="1:14" ht="12" customHeight="1">
      <c r="A49" s="96"/>
      <c r="B49" s="137" t="s">
        <v>281</v>
      </c>
      <c r="C49" s="31"/>
      <c r="D49" s="31"/>
      <c r="E49" s="5">
        <v>38</v>
      </c>
      <c r="F49" s="13">
        <f>SUM(F43+F44+F46+F47)</f>
        <v>479237</v>
      </c>
      <c r="G49" s="13">
        <f>SUM(G43+G44+G46+G47)</f>
        <v>166286</v>
      </c>
      <c r="H49" s="13">
        <f>SUM(H43+H44+H46+H47)</f>
        <v>611115</v>
      </c>
      <c r="I49" s="13">
        <f>SUM(I43+I44+I46+I47)</f>
        <v>65215</v>
      </c>
      <c r="J49" s="13">
        <f>SUM(J43+J46+J47)</f>
        <v>25558</v>
      </c>
      <c r="K49" s="10">
        <f>SUM(K43:K48)</f>
        <v>1860624</v>
      </c>
      <c r="L49" s="10">
        <f>SUM(L43:L48)</f>
        <v>1714455</v>
      </c>
      <c r="M49" s="12">
        <f>IF(K49=0," ",(L49-K49)/K49)</f>
        <v>-0.079</v>
      </c>
      <c r="N49" s="91">
        <v>38</v>
      </c>
    </row>
    <row r="52" ht="12.75" customHeight="1">
      <c r="F52" s="252"/>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X51"/>
  <sheetViews>
    <sheetView showGridLines="0" zoomScale="80" zoomScaleNormal="80" workbookViewId="0" topLeftCell="A7">
      <selection activeCell="M49" sqref="M49"/>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8" t="str">
        <f>Cover!D1</f>
        <v>Pima Prevention Partnership </v>
      </c>
      <c r="D1" s="359"/>
      <c r="E1" s="359"/>
      <c r="F1" s="359"/>
      <c r="H1" s="114" t="s">
        <v>1</v>
      </c>
      <c r="I1" s="360" t="str">
        <f>Cover!M1</f>
        <v>Maricopa</v>
      </c>
      <c r="J1" s="361"/>
      <c r="K1" s="361"/>
      <c r="M1" s="48" t="s">
        <v>91</v>
      </c>
      <c r="N1" s="262" t="str">
        <f>Cover!R1</f>
        <v>108507000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22" t="s">
        <v>74</v>
      </c>
      <c r="B3" s="322"/>
      <c r="C3" s="322"/>
      <c r="D3" s="275"/>
      <c r="E3" s="275"/>
      <c r="H3" s="266" t="s">
        <v>57</v>
      </c>
      <c r="I3" s="259"/>
      <c r="J3" s="259"/>
      <c r="K3" s="259"/>
      <c r="L3" s="259"/>
      <c r="M3" s="259"/>
      <c r="N3" s="259"/>
      <c r="O3" s="35"/>
      <c r="P3" s="113"/>
      <c r="Q3" s="357"/>
      <c r="R3" s="357"/>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7"/>
      <c r="R4" s="357"/>
      <c r="S4" s="113"/>
      <c r="T4" s="113"/>
      <c r="U4" s="113"/>
      <c r="V4" s="113"/>
      <c r="W4" s="113"/>
      <c r="X4" s="113"/>
    </row>
    <row r="5" spans="1:24" ht="12" customHeight="1">
      <c r="A5" s="153">
        <v>1</v>
      </c>
      <c r="B5" s="155" t="s">
        <v>183</v>
      </c>
      <c r="C5" s="154"/>
      <c r="D5" s="148">
        <f>[1]!FP11001130TitleI</f>
        <v>55665</v>
      </c>
      <c r="E5" s="148">
        <v>57832</v>
      </c>
      <c r="F5" s="117">
        <v>1</v>
      </c>
      <c r="G5" s="157">
        <v>1</v>
      </c>
      <c r="H5" s="271" t="s">
        <v>271</v>
      </c>
      <c r="I5" s="271"/>
      <c r="J5" s="292"/>
      <c r="K5" s="154"/>
      <c r="M5" s="149">
        <f>'[1]Page 2'!$N$5</f>
        <v>112827</v>
      </c>
      <c r="N5" s="149">
        <f>'Page 1'!L37</f>
        <v>112828</v>
      </c>
      <c r="O5" s="32">
        <v>1</v>
      </c>
      <c r="P5" s="113"/>
      <c r="Q5" s="113"/>
      <c r="R5" s="274"/>
      <c r="S5" s="274"/>
      <c r="T5" s="113"/>
      <c r="U5" s="113"/>
      <c r="V5" s="113"/>
      <c r="W5" s="113"/>
      <c r="X5" s="113"/>
    </row>
    <row r="6" spans="1:24" ht="12" customHeight="1">
      <c r="A6" s="153">
        <v>2</v>
      </c>
      <c r="B6" s="155" t="s">
        <v>184</v>
      </c>
      <c r="C6" s="154"/>
      <c r="D6" s="148">
        <f>[1]!FP11401150TitleII</f>
        <v>757</v>
      </c>
      <c r="E6" s="148">
        <v>0</v>
      </c>
      <c r="F6" s="117">
        <v>2</v>
      </c>
      <c r="G6" s="157">
        <v>2</v>
      </c>
      <c r="H6" s="154" t="s">
        <v>34</v>
      </c>
      <c r="I6" s="154"/>
      <c r="J6" s="154"/>
      <c r="K6" s="154"/>
      <c r="M6" s="149">
        <f>[1]!P200GiftedEducation</f>
        <v>0</v>
      </c>
      <c r="N6" s="149"/>
      <c r="O6" s="32">
        <v>2</v>
      </c>
      <c r="P6" s="113"/>
      <c r="Q6" s="113"/>
      <c r="R6" s="274"/>
      <c r="S6" s="274"/>
      <c r="T6" s="113"/>
      <c r="U6" s="113"/>
      <c r="V6" s="113"/>
      <c r="W6" s="113"/>
      <c r="X6" s="113"/>
    </row>
    <row r="7" spans="1:24" ht="12" customHeight="1">
      <c r="A7" s="153">
        <v>3</v>
      </c>
      <c r="B7" s="155" t="s">
        <v>185</v>
      </c>
      <c r="C7" s="154"/>
      <c r="D7" s="148">
        <f>[1]!FP1160TitleIV</f>
        <v>50160</v>
      </c>
      <c r="E7" s="148">
        <v>49957</v>
      </c>
      <c r="F7" s="117">
        <v>3</v>
      </c>
      <c r="G7" s="157">
        <v>3</v>
      </c>
      <c r="H7" s="154" t="s">
        <v>147</v>
      </c>
      <c r="I7" s="154"/>
      <c r="J7" s="154"/>
      <c r="K7" s="154"/>
      <c r="M7" s="148">
        <f>[1]!P200ELLIncrementalCosts</f>
        <v>0</v>
      </c>
      <c r="N7" s="148"/>
      <c r="O7" s="32">
        <v>3</v>
      </c>
      <c r="P7" s="113"/>
      <c r="Q7" s="113"/>
      <c r="R7" s="274"/>
      <c r="S7" s="274"/>
      <c r="T7" s="113"/>
      <c r="U7" s="113"/>
      <c r="V7" s="113"/>
      <c r="W7" s="113"/>
      <c r="X7" s="113"/>
    </row>
    <row r="8" spans="1:24" ht="12" customHeight="1">
      <c r="A8" s="153">
        <v>4</v>
      </c>
      <c r="B8" s="155" t="s">
        <v>186</v>
      </c>
      <c r="C8" s="154"/>
      <c r="D8" s="148">
        <f>[1]!FP11701180TitleV</f>
        <v>0</v>
      </c>
      <c r="E8" s="148"/>
      <c r="F8" s="117">
        <v>4</v>
      </c>
      <c r="G8" s="157">
        <v>4</v>
      </c>
      <c r="H8" s="154" t="s">
        <v>148</v>
      </c>
      <c r="I8" s="154"/>
      <c r="J8" s="154"/>
      <c r="K8" s="154"/>
      <c r="M8" s="148">
        <f>[1]!P200ELLCompensatoryInstruction</f>
        <v>0</v>
      </c>
      <c r="N8" s="148"/>
      <c r="O8" s="32">
        <v>4</v>
      </c>
      <c r="P8" s="113"/>
      <c r="Q8" s="113"/>
      <c r="R8" s="274"/>
      <c r="S8" s="274"/>
      <c r="T8" s="113"/>
      <c r="U8" s="113"/>
      <c r="V8" s="113"/>
      <c r="W8" s="113"/>
      <c r="X8" s="113"/>
    </row>
    <row r="9" spans="1:24" ht="12" customHeight="1">
      <c r="A9" s="153">
        <v>5</v>
      </c>
      <c r="B9" s="155" t="s">
        <v>187</v>
      </c>
      <c r="C9" s="154"/>
      <c r="D9" s="148">
        <f>[1]!FP1190TitleIII</f>
        <v>0</v>
      </c>
      <c r="E9" s="148"/>
      <c r="F9" s="117">
        <v>5</v>
      </c>
      <c r="G9" s="157">
        <v>5</v>
      </c>
      <c r="H9" s="154" t="s">
        <v>35</v>
      </c>
      <c r="I9" s="154"/>
      <c r="J9" s="154"/>
      <c r="K9" s="154"/>
      <c r="M9" s="148">
        <f>[1]!P200RemedialEducation</f>
        <v>0</v>
      </c>
      <c r="N9" s="148"/>
      <c r="O9" s="32">
        <v>5</v>
      </c>
      <c r="P9" s="113"/>
      <c r="Q9" s="113"/>
      <c r="R9" s="274"/>
      <c r="S9" s="274"/>
      <c r="T9" s="113"/>
      <c r="U9" s="113"/>
      <c r="V9" s="113"/>
      <c r="W9" s="113"/>
      <c r="X9" s="113"/>
    </row>
    <row r="10" spans="1:24" ht="12" customHeight="1">
      <c r="A10" s="153">
        <v>6</v>
      </c>
      <c r="B10" s="155" t="s">
        <v>188</v>
      </c>
      <c r="C10" s="154"/>
      <c r="D10" s="148">
        <f>[1]!FP1200TitleVII</f>
        <v>0</v>
      </c>
      <c r="E10" s="148"/>
      <c r="F10" s="117">
        <v>6</v>
      </c>
      <c r="G10" s="157">
        <v>6</v>
      </c>
      <c r="H10" s="154" t="s">
        <v>181</v>
      </c>
      <c r="I10" s="154"/>
      <c r="J10" s="154"/>
      <c r="K10" s="154"/>
      <c r="M10" s="148">
        <f>[1]!P200VocationalandTechnologicalEd</f>
        <v>0</v>
      </c>
      <c r="N10" s="148"/>
      <c r="O10" s="32">
        <v>6</v>
      </c>
      <c r="P10" s="113"/>
      <c r="Q10" s="113"/>
      <c r="R10" s="274"/>
      <c r="S10" s="274"/>
      <c r="T10" s="113"/>
      <c r="U10" s="113"/>
      <c r="V10" s="113"/>
      <c r="W10" s="113"/>
      <c r="X10" s="113"/>
    </row>
    <row r="11" spans="1:24" ht="12" customHeight="1">
      <c r="A11" s="153">
        <v>7</v>
      </c>
      <c r="B11" s="155" t="s">
        <v>189</v>
      </c>
      <c r="C11" s="154"/>
      <c r="D11" s="148">
        <f>[1]!FP1210TitleVI</f>
        <v>0</v>
      </c>
      <c r="E11" s="148"/>
      <c r="F11" s="117">
        <v>7</v>
      </c>
      <c r="G11" s="157">
        <v>7</v>
      </c>
      <c r="H11" s="154" t="s">
        <v>36</v>
      </c>
      <c r="I11" s="154"/>
      <c r="J11" s="154"/>
      <c r="K11" s="154"/>
      <c r="M11" s="148">
        <f>[1]!P200CareerEducation</f>
        <v>0</v>
      </c>
      <c r="N11" s="148"/>
      <c r="O11" s="32">
        <v>7</v>
      </c>
      <c r="P11" s="113"/>
      <c r="Q11" s="113"/>
      <c r="R11" s="274"/>
      <c r="S11" s="274"/>
      <c r="T11" s="113"/>
      <c r="U11" s="113"/>
      <c r="V11" s="113"/>
      <c r="W11" s="113"/>
      <c r="X11" s="113"/>
    </row>
    <row r="12" spans="1:24" ht="12" customHeight="1">
      <c r="A12" s="153">
        <v>8</v>
      </c>
      <c r="B12" s="154" t="s">
        <v>47</v>
      </c>
      <c r="C12" s="154"/>
      <c r="D12" s="148">
        <f>[1]!FP1220IDEA</f>
        <v>30429</v>
      </c>
      <c r="E12" s="148">
        <v>31458</v>
      </c>
      <c r="F12" s="117">
        <v>8</v>
      </c>
      <c r="G12" s="157">
        <v>8</v>
      </c>
      <c r="H12" s="271" t="s">
        <v>270</v>
      </c>
      <c r="I12" s="271"/>
      <c r="J12" s="292"/>
      <c r="K12" s="154"/>
      <c r="M12" s="294">
        <f>SUM(M5:M11)</f>
        <v>112827</v>
      </c>
      <c r="N12" s="294">
        <f>SUM(N5:N11)</f>
        <v>112828</v>
      </c>
      <c r="O12" s="32">
        <v>8</v>
      </c>
      <c r="P12" s="113"/>
      <c r="Q12" s="113"/>
      <c r="R12" s="274"/>
      <c r="S12" s="274"/>
      <c r="T12" s="113"/>
      <c r="U12" s="113"/>
      <c r="V12" s="113"/>
      <c r="W12" s="113"/>
      <c r="X12" s="113"/>
    </row>
    <row r="13" spans="1:24" ht="12" customHeight="1">
      <c r="A13" s="153">
        <v>9</v>
      </c>
      <c r="B13" s="154" t="s">
        <v>48</v>
      </c>
      <c r="C13" s="154"/>
      <c r="D13" s="148">
        <f>[1]!FP1230Johnson</f>
        <v>0</v>
      </c>
      <c r="E13" s="148"/>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f>[1]!FP1240WIA</f>
        <v>0</v>
      </c>
      <c r="E14" s="148"/>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f>[1]!FP1250AEA</f>
        <v>0</v>
      </c>
      <c r="E15" s="148"/>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f>[1]!FP12601270VocEd</f>
        <v>0</v>
      </c>
      <c r="E16" s="148"/>
      <c r="F16" s="117">
        <v>12</v>
      </c>
      <c r="G16" s="157"/>
      <c r="H16" s="154"/>
      <c r="I16" s="154"/>
      <c r="J16" s="154"/>
      <c r="K16" s="154"/>
      <c r="M16" s="364" t="s">
        <v>290</v>
      </c>
      <c r="N16" s="364" t="s">
        <v>287</v>
      </c>
      <c r="O16" s="32"/>
      <c r="P16" s="113"/>
      <c r="Q16" s="113"/>
      <c r="R16" s="274"/>
      <c r="S16" s="274"/>
      <c r="T16" s="113"/>
      <c r="U16" s="113"/>
      <c r="V16" s="113"/>
      <c r="W16" s="113"/>
      <c r="X16" s="113"/>
    </row>
    <row r="17" spans="1:24" ht="12" customHeight="1">
      <c r="A17" s="153">
        <v>13</v>
      </c>
      <c r="B17" s="155" t="s">
        <v>192</v>
      </c>
      <c r="C17" s="154"/>
      <c r="D17" s="148">
        <f>[1]!FP1280TitleX</f>
        <v>0</v>
      </c>
      <c r="E17" s="148"/>
      <c r="F17" s="117">
        <v>13</v>
      </c>
      <c r="G17" s="157"/>
      <c r="H17" s="154"/>
      <c r="I17" s="154"/>
      <c r="J17" s="154"/>
      <c r="K17" s="154"/>
      <c r="M17" s="364"/>
      <c r="N17" s="364"/>
      <c r="O17" s="32"/>
      <c r="P17" s="113"/>
      <c r="Q17" s="113"/>
      <c r="R17" s="274"/>
      <c r="S17" s="274"/>
      <c r="T17" s="113"/>
      <c r="U17" s="113"/>
      <c r="V17" s="113"/>
      <c r="W17" s="113"/>
      <c r="X17" s="113"/>
    </row>
    <row r="18" spans="1:24" ht="12" customHeight="1">
      <c r="A18" s="153">
        <v>14</v>
      </c>
      <c r="B18" s="155" t="s">
        <v>67</v>
      </c>
      <c r="C18" s="154"/>
      <c r="D18" s="148">
        <f>[1]!FP1290Medicaid</f>
        <v>0</v>
      </c>
      <c r="E18" s="148"/>
      <c r="F18" s="117">
        <v>14</v>
      </c>
      <c r="G18" s="153" t="s">
        <v>44</v>
      </c>
      <c r="H18" s="158" t="s">
        <v>134</v>
      </c>
      <c r="I18" s="158"/>
      <c r="J18" s="154"/>
      <c r="K18" s="154"/>
      <c r="M18" s="149">
        <f>[1]!IIPTeacherCompensationIncreases</f>
        <v>0</v>
      </c>
      <c r="N18" s="149"/>
      <c r="O18" s="153" t="s">
        <v>44</v>
      </c>
      <c r="P18" s="113"/>
      <c r="Q18" s="113"/>
      <c r="R18" s="274"/>
      <c r="S18" s="274"/>
      <c r="T18" s="113"/>
      <c r="U18" s="113"/>
      <c r="V18" s="113"/>
      <c r="W18" s="113"/>
      <c r="X18" s="113"/>
    </row>
    <row r="19" spans="1:24" ht="12" customHeight="1">
      <c r="A19" s="153">
        <v>15</v>
      </c>
      <c r="B19" s="154" t="s">
        <v>75</v>
      </c>
      <c r="C19" s="154"/>
      <c r="D19" s="149">
        <f>[1]!FP1300Charter</f>
        <v>0</v>
      </c>
      <c r="E19" s="149"/>
      <c r="F19" s="117">
        <v>15</v>
      </c>
      <c r="G19" s="153" t="s">
        <v>45</v>
      </c>
      <c r="H19" s="159" t="s">
        <v>135</v>
      </c>
      <c r="I19" s="159"/>
      <c r="J19" s="288"/>
      <c r="M19" s="149">
        <f>[1]!IIPClassSizeReduction</f>
        <v>0</v>
      </c>
      <c r="N19" s="149"/>
      <c r="O19" s="153" t="s">
        <v>45</v>
      </c>
      <c r="P19" s="113"/>
      <c r="Q19" s="113"/>
      <c r="R19" s="274"/>
      <c r="S19" s="274"/>
      <c r="T19" s="113"/>
      <c r="U19" s="113"/>
      <c r="V19" s="113"/>
      <c r="W19" s="113"/>
      <c r="X19" s="113"/>
    </row>
    <row r="20" spans="1:24" ht="12" customHeight="1">
      <c r="A20" s="153">
        <v>16</v>
      </c>
      <c r="B20" s="155" t="s">
        <v>257</v>
      </c>
      <c r="C20" s="154"/>
      <c r="D20" s="284">
        <f>[1]!FP13__ImpactAid</f>
        <v>0</v>
      </c>
      <c r="E20" s="284"/>
      <c r="F20" s="117">
        <v>16</v>
      </c>
      <c r="G20" s="153" t="s">
        <v>107</v>
      </c>
      <c r="H20" s="271" t="s">
        <v>236</v>
      </c>
      <c r="I20" s="271"/>
      <c r="J20" s="292"/>
      <c r="K20" s="293"/>
      <c r="M20" s="149">
        <f>[1]!IIPDropoutPreventionPrograms</f>
        <v>0</v>
      </c>
      <c r="N20" s="149">
        <v>0</v>
      </c>
      <c r="O20" s="153" t="s">
        <v>107</v>
      </c>
      <c r="P20" s="113"/>
      <c r="Q20" s="113"/>
      <c r="R20" s="274"/>
      <c r="S20" s="274"/>
      <c r="T20" s="113"/>
      <c r="U20" s="113"/>
      <c r="V20" s="113"/>
      <c r="W20" s="113"/>
      <c r="X20" s="113"/>
    </row>
    <row r="21" spans="1:24" ht="12" customHeight="1" thickBot="1">
      <c r="A21" s="153">
        <v>17</v>
      </c>
      <c r="B21" s="154" t="s">
        <v>71</v>
      </c>
      <c r="C21" s="154"/>
      <c r="D21" s="150">
        <f>[1]!FP13101399Other</f>
        <v>272964</v>
      </c>
      <c r="E21" s="150">
        <v>227797</v>
      </c>
      <c r="F21" s="117">
        <v>17</v>
      </c>
      <c r="G21" s="153" t="s">
        <v>108</v>
      </c>
      <c r="H21" s="271" t="s">
        <v>237</v>
      </c>
      <c r="I21" s="271"/>
      <c r="J21" s="292"/>
      <c r="K21" s="293"/>
      <c r="M21" s="150">
        <f>[1]!IIPInstructionalImprovementPrograms</f>
        <v>0</v>
      </c>
      <c r="N21" s="150">
        <v>0</v>
      </c>
      <c r="O21" s="153" t="s">
        <v>108</v>
      </c>
      <c r="P21" s="113"/>
      <c r="Q21" s="113"/>
      <c r="R21" s="274"/>
      <c r="S21" s="274"/>
      <c r="T21" s="113"/>
      <c r="U21" s="113"/>
      <c r="V21" s="113"/>
      <c r="W21" s="113"/>
      <c r="X21" s="113"/>
    </row>
    <row r="22" spans="1:24" ht="12" customHeight="1" thickBot="1">
      <c r="A22" s="153">
        <v>18</v>
      </c>
      <c r="B22" s="155" t="s">
        <v>256</v>
      </c>
      <c r="C22" s="154"/>
      <c r="D22" s="152">
        <f>SUM(D5:D21)</f>
        <v>409975</v>
      </c>
      <c r="E22" s="152">
        <f>SUM(E5:E21)</f>
        <v>367044</v>
      </c>
      <c r="F22" s="117">
        <v>18</v>
      </c>
      <c r="G22" s="153" t="s">
        <v>109</v>
      </c>
      <c r="H22" s="158" t="s">
        <v>137</v>
      </c>
      <c r="I22" s="158"/>
      <c r="J22" s="154"/>
      <c r="K22" s="154"/>
      <c r="M22" s="152">
        <f>SUM(M18:M21)</f>
        <v>0</v>
      </c>
      <c r="N22" s="152">
        <f>SUM(N18:N21)</f>
        <v>0</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f>[1]!SP1400VocEd</f>
        <v>0</v>
      </c>
      <c r="E24" s="193"/>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f>[1]!SP1410EarlyChildhoodBlockGrant</f>
        <v>0</v>
      </c>
      <c r="E25" s="148"/>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f>[1]!FP1420ExtendedSchool</f>
        <v>0</v>
      </c>
      <c r="E26" s="148"/>
      <c r="F26" s="117">
        <v>21</v>
      </c>
      <c r="H26" s="44" t="s">
        <v>37</v>
      </c>
      <c r="I26" s="114" t="s">
        <v>38</v>
      </c>
      <c r="J26" s="119">
        <v>25</v>
      </c>
      <c r="L26" s="57" t="s">
        <v>41</v>
      </c>
      <c r="N26" s="28">
        <v>17000</v>
      </c>
      <c r="P26" s="113"/>
      <c r="Q26" s="113"/>
      <c r="R26" s="274"/>
      <c r="S26" s="274"/>
      <c r="T26" s="113"/>
      <c r="U26" s="113"/>
      <c r="V26" s="113"/>
      <c r="W26" s="113"/>
      <c r="X26" s="113"/>
    </row>
    <row r="27" spans="1:24" ht="12" customHeight="1">
      <c r="A27" s="153">
        <v>22</v>
      </c>
      <c r="B27" s="154" t="s">
        <v>50</v>
      </c>
      <c r="C27" s="154"/>
      <c r="D27" s="148">
        <f>[1]!SP1425AdultBasicEd</f>
        <v>0</v>
      </c>
      <c r="E27" s="148"/>
      <c r="F27" s="117">
        <v>22</v>
      </c>
      <c r="G27" s="282"/>
      <c r="H27" s="44" t="s">
        <v>39</v>
      </c>
      <c r="I27" s="114" t="s">
        <v>38</v>
      </c>
      <c r="J27" s="306">
        <v>20</v>
      </c>
      <c r="K27" s="154"/>
      <c r="L27" s="141" t="s">
        <v>42</v>
      </c>
      <c r="N27" s="28">
        <f>SP1000P100F1000+SP1000P200F1000+CSP1011P100F1000+CSP1012P100F1000+CSP1013P100F1000+IIPInstructionalImprovementPrograms</f>
        <v>431723</v>
      </c>
      <c r="O27" s="32"/>
      <c r="P27" s="113"/>
      <c r="Q27" s="113"/>
      <c r="R27" s="274"/>
      <c r="S27" s="274"/>
      <c r="T27" s="113"/>
      <c r="U27" s="113"/>
      <c r="V27" s="113"/>
      <c r="W27" s="113"/>
      <c r="X27" s="113"/>
    </row>
    <row r="28" spans="1:24" ht="12" customHeight="1">
      <c r="A28" s="153">
        <v>23</v>
      </c>
      <c r="B28" s="154" t="s">
        <v>51</v>
      </c>
      <c r="C28" s="154"/>
      <c r="D28" s="148">
        <f>[1]!SP1430ChemicalAbuse</f>
        <v>0</v>
      </c>
      <c r="E28" s="148"/>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f>[1]!SP1435AcademicContests</f>
        <v>0</v>
      </c>
      <c r="E29" s="148"/>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f>[1]!SP1450GiftedEd</f>
        <v>0</v>
      </c>
      <c r="E30" s="148"/>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300</v>
      </c>
      <c r="C31" s="271"/>
      <c r="D31" s="310"/>
      <c r="E31" s="148"/>
      <c r="F31" s="117">
        <v>26</v>
      </c>
      <c r="H31" s="155" t="s">
        <v>220</v>
      </c>
      <c r="K31" s="36"/>
      <c r="M31" s="309"/>
      <c r="O31" s="118"/>
      <c r="P31" s="113"/>
      <c r="Q31" s="113"/>
      <c r="R31" s="113"/>
      <c r="S31" s="113"/>
      <c r="T31" s="113"/>
      <c r="U31" s="113"/>
      <c r="V31" s="113"/>
      <c r="W31" s="113"/>
      <c r="X31" s="113"/>
    </row>
    <row r="32" spans="1:24" ht="12" customHeight="1">
      <c r="A32" s="153">
        <v>27</v>
      </c>
      <c r="B32" s="271" t="s">
        <v>301</v>
      </c>
      <c r="C32" s="271"/>
      <c r="D32" s="310"/>
      <c r="E32" s="148"/>
      <c r="F32" s="117">
        <v>27</v>
      </c>
      <c r="H32" s="155" t="s">
        <v>221</v>
      </c>
      <c r="M32" s="309"/>
      <c r="N32" s="304">
        <v>3891</v>
      </c>
      <c r="O32" s="118"/>
      <c r="P32" s="113"/>
      <c r="Q32" s="113"/>
      <c r="R32" s="113"/>
      <c r="S32" s="113"/>
      <c r="T32" s="113"/>
      <c r="U32" s="113"/>
      <c r="V32" s="113"/>
      <c r="W32" s="113"/>
      <c r="X32" s="113"/>
    </row>
    <row r="33" spans="1:24" ht="12" customHeight="1">
      <c r="A33" s="153">
        <v>28</v>
      </c>
      <c r="B33" s="154" t="s">
        <v>53</v>
      </c>
      <c r="C33" s="154"/>
      <c r="D33" s="148">
        <f>[1]!SP1460EnvironmentalSpecialPlate</f>
        <v>0</v>
      </c>
      <c r="E33" s="148"/>
      <c r="F33" s="117">
        <v>28</v>
      </c>
      <c r="H33" s="155"/>
      <c r="K33" s="36"/>
      <c r="O33" s="35"/>
      <c r="P33" s="113"/>
      <c r="Q33" s="113"/>
      <c r="R33" s="113"/>
      <c r="S33" s="113"/>
      <c r="T33" s="113"/>
      <c r="U33" s="113"/>
      <c r="V33" s="113"/>
      <c r="W33" s="113"/>
      <c r="X33" s="113"/>
    </row>
    <row r="34" spans="1:24" ht="12" customHeight="1">
      <c r="A34" s="153">
        <v>29</v>
      </c>
      <c r="B34" s="154" t="s">
        <v>72</v>
      </c>
      <c r="C34" s="154"/>
      <c r="D34" s="148">
        <f>[1]!SP1465CharterSchool</f>
        <v>0</v>
      </c>
      <c r="E34" s="148"/>
      <c r="F34" s="117">
        <v>29</v>
      </c>
      <c r="H34" s="155"/>
      <c r="N34" s="146"/>
      <c r="P34" s="113"/>
      <c r="Q34" s="113"/>
      <c r="R34" s="113"/>
      <c r="S34" s="113"/>
      <c r="T34" s="113"/>
      <c r="U34" s="113"/>
      <c r="V34" s="113"/>
      <c r="W34" s="113"/>
      <c r="X34" s="113"/>
    </row>
    <row r="35" spans="1:24" ht="12" customHeight="1" thickBot="1">
      <c r="A35" s="153">
        <v>30</v>
      </c>
      <c r="B35" s="43" t="s">
        <v>73</v>
      </c>
      <c r="C35" s="43"/>
      <c r="D35" s="148">
        <f>[1]!SP14701499Other</f>
        <v>0</v>
      </c>
      <c r="E35" s="148">
        <v>0</v>
      </c>
      <c r="F35" s="117">
        <v>30</v>
      </c>
      <c r="H35" s="273" t="s">
        <v>297</v>
      </c>
      <c r="I35" s="266"/>
      <c r="J35" s="273"/>
      <c r="K35" s="266"/>
      <c r="L35" s="273"/>
      <c r="M35" s="266"/>
      <c r="N35" s="267"/>
      <c r="P35" s="113"/>
      <c r="Q35" s="113"/>
      <c r="R35" s="113"/>
      <c r="S35" s="113"/>
      <c r="T35" s="113"/>
      <c r="U35" s="113"/>
      <c r="V35" s="113"/>
      <c r="W35" s="113"/>
      <c r="X35" s="113"/>
    </row>
    <row r="36" spans="1:24" ht="12" customHeight="1" thickBot="1">
      <c r="A36" s="153">
        <v>31</v>
      </c>
      <c r="B36" s="155" t="s">
        <v>305</v>
      </c>
      <c r="C36" s="154"/>
      <c r="D36" s="151">
        <f>SUM(D24:D35)</f>
        <v>0</v>
      </c>
      <c r="E36" s="151">
        <f>SUM(E23:E35)</f>
        <v>0</v>
      </c>
      <c r="F36" s="117">
        <v>31</v>
      </c>
      <c r="G36" s="153">
        <v>1</v>
      </c>
      <c r="H36" s="271" t="s">
        <v>331</v>
      </c>
      <c r="I36" s="271"/>
      <c r="J36" s="271"/>
      <c r="K36" s="271"/>
      <c r="L36" s="271"/>
      <c r="M36" s="271"/>
      <c r="N36" s="28">
        <v>6</v>
      </c>
      <c r="O36" s="153">
        <v>1</v>
      </c>
      <c r="P36" s="113"/>
      <c r="Q36" s="113"/>
      <c r="R36" s="113"/>
      <c r="S36" s="113"/>
      <c r="T36" s="113"/>
      <c r="U36" s="113"/>
      <c r="V36" s="113"/>
      <c r="W36" s="113"/>
      <c r="X36" s="113"/>
    </row>
    <row r="37" spans="1:24" ht="12" customHeight="1" thickBot="1" thickTop="1">
      <c r="A37" s="272">
        <v>32</v>
      </c>
      <c r="B37" s="155" t="s">
        <v>306</v>
      </c>
      <c r="C37" s="154"/>
      <c r="D37" s="152">
        <f>D22+D36</f>
        <v>409975</v>
      </c>
      <c r="E37" s="152">
        <f>E22+E36</f>
        <v>367044</v>
      </c>
      <c r="F37" s="117">
        <v>32</v>
      </c>
      <c r="G37" s="153">
        <v>2</v>
      </c>
      <c r="H37" s="271" t="s">
        <v>332</v>
      </c>
      <c r="I37" s="271"/>
      <c r="J37" s="271"/>
      <c r="K37" s="271"/>
      <c r="L37" s="271"/>
      <c r="M37" s="271"/>
      <c r="N37" s="27">
        <v>6</v>
      </c>
      <c r="O37" s="153">
        <v>2</v>
      </c>
      <c r="P37" s="113"/>
      <c r="Q37" s="113"/>
      <c r="R37" s="113"/>
      <c r="S37" s="113"/>
      <c r="T37" s="113"/>
      <c r="U37" s="113"/>
      <c r="V37" s="113"/>
      <c r="W37" s="113"/>
      <c r="X37" s="113"/>
    </row>
    <row r="38" spans="1:24" ht="12" customHeight="1" thickTop="1">
      <c r="A38" s="116"/>
      <c r="F38" s="32"/>
      <c r="G38" s="153">
        <v>3</v>
      </c>
      <c r="H38" s="271" t="s">
        <v>333</v>
      </c>
      <c r="I38" s="271"/>
      <c r="J38" s="292"/>
      <c r="K38" s="293"/>
      <c r="L38" s="271"/>
      <c r="M38" s="271"/>
      <c r="N38" s="27">
        <v>228430</v>
      </c>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334</v>
      </c>
      <c r="I39" s="271"/>
      <c r="J39" s="292"/>
      <c r="K39" s="293"/>
      <c r="L39" s="271"/>
      <c r="M39" s="271"/>
      <c r="N39" s="27">
        <v>228430</v>
      </c>
      <c r="O39" s="153">
        <v>4</v>
      </c>
      <c r="P39" s="113"/>
      <c r="Q39" s="113"/>
      <c r="R39" s="113"/>
      <c r="S39" s="113"/>
      <c r="T39" s="113"/>
      <c r="U39" s="113"/>
      <c r="V39" s="113"/>
      <c r="W39" s="113"/>
      <c r="X39" s="113"/>
    </row>
    <row r="40" spans="1:24" ht="12.75">
      <c r="A40" s="157">
        <v>1</v>
      </c>
      <c r="B40" s="154" t="s">
        <v>173</v>
      </c>
      <c r="D40" s="27">
        <f>[1]!CA0191Land</f>
        <v>0</v>
      </c>
      <c r="E40" s="28"/>
      <c r="F40" s="32">
        <v>1</v>
      </c>
      <c r="G40" s="153">
        <v>5</v>
      </c>
      <c r="H40" s="43" t="s">
        <v>314</v>
      </c>
      <c r="I40" s="43"/>
      <c r="J40" s="43"/>
      <c r="K40" s="43"/>
      <c r="L40" s="43"/>
      <c r="M40" s="43"/>
      <c r="N40" s="307">
        <f>N39*0.0106</f>
        <v>2421</v>
      </c>
      <c r="O40" s="153">
        <v>5</v>
      </c>
      <c r="P40" s="113"/>
      <c r="Q40" s="113"/>
      <c r="R40" s="113"/>
      <c r="S40" s="113"/>
      <c r="T40" s="113"/>
      <c r="U40" s="113"/>
      <c r="V40" s="113"/>
      <c r="W40" s="113"/>
      <c r="X40" s="113"/>
    </row>
    <row r="41" spans="1:24" ht="12" customHeight="1">
      <c r="A41" s="157">
        <v>2</v>
      </c>
      <c r="B41" s="154" t="s">
        <v>156</v>
      </c>
      <c r="D41" s="27">
        <f>[1]!CA0192SiteImprovements</f>
        <v>0</v>
      </c>
      <c r="E41" s="27"/>
      <c r="F41" s="32">
        <v>2</v>
      </c>
      <c r="G41" s="153">
        <v>6</v>
      </c>
      <c r="H41" s="271" t="s">
        <v>315</v>
      </c>
      <c r="I41" s="271"/>
      <c r="J41" s="292"/>
      <c r="K41" s="293"/>
      <c r="L41" s="271"/>
      <c r="M41" s="271"/>
      <c r="N41" s="27">
        <v>275</v>
      </c>
      <c r="O41" s="153">
        <v>6</v>
      </c>
      <c r="P41" s="113"/>
      <c r="Q41" s="113"/>
      <c r="R41" s="113"/>
      <c r="S41" s="113"/>
      <c r="T41" s="113"/>
      <c r="U41" s="113"/>
      <c r="V41" s="113"/>
      <c r="W41" s="113"/>
      <c r="X41" s="113"/>
    </row>
    <row r="42" spans="1:16" ht="12" customHeight="1">
      <c r="A42" s="157">
        <v>3</v>
      </c>
      <c r="B42" s="154" t="s">
        <v>157</v>
      </c>
      <c r="D42" s="27">
        <f>[1]!CA0194Buildings</f>
        <v>0</v>
      </c>
      <c r="E42" s="27"/>
      <c r="F42" s="32">
        <v>3</v>
      </c>
      <c r="G42" s="305">
        <v>7</v>
      </c>
      <c r="H42" s="271" t="s">
        <v>316</v>
      </c>
      <c r="I42" s="271"/>
      <c r="J42" s="292"/>
      <c r="K42" s="293"/>
      <c r="L42" s="271"/>
      <c r="M42" s="271"/>
      <c r="N42" s="307">
        <f>N40*0.0765</f>
        <v>185</v>
      </c>
      <c r="O42" s="305">
        <v>7</v>
      </c>
      <c r="P42" s="113"/>
    </row>
    <row r="43" spans="1:15" ht="12" customHeight="1">
      <c r="A43" s="157">
        <v>4</v>
      </c>
      <c r="B43" s="154" t="s">
        <v>158</v>
      </c>
      <c r="D43" s="27">
        <f>[1]!CA0196Equipment</f>
        <v>0</v>
      </c>
      <c r="E43" s="27"/>
      <c r="F43" s="32">
        <v>4</v>
      </c>
      <c r="G43" s="305">
        <v>8</v>
      </c>
      <c r="H43" s="271" t="s">
        <v>318</v>
      </c>
      <c r="I43" s="271"/>
      <c r="J43" s="292"/>
      <c r="K43" s="293"/>
      <c r="L43" s="271"/>
      <c r="M43" s="271"/>
      <c r="N43" s="307">
        <f>SUM(N40:N42)</f>
        <v>2881</v>
      </c>
      <c r="O43" s="305">
        <v>8</v>
      </c>
    </row>
    <row r="44" spans="1:16" ht="12" customHeight="1" thickBot="1">
      <c r="A44" s="157">
        <v>5</v>
      </c>
      <c r="B44" s="154" t="s">
        <v>159</v>
      </c>
      <c r="D44" s="121">
        <f>[1]!CA0198CIP</f>
        <v>0</v>
      </c>
      <c r="E44" s="121"/>
      <c r="F44" s="32">
        <v>5</v>
      </c>
      <c r="G44" s="305"/>
      <c r="H44" s="311"/>
      <c r="I44" s="18"/>
      <c r="J44" s="18"/>
      <c r="K44" s="18"/>
      <c r="L44" s="18"/>
      <c r="M44" s="18"/>
      <c r="N44" s="160"/>
      <c r="O44" s="312"/>
      <c r="P44" s="18"/>
    </row>
    <row r="45" spans="1:16" ht="12" customHeight="1" thickBot="1">
      <c r="A45" s="272">
        <v>6</v>
      </c>
      <c r="B45" s="154" t="s">
        <v>160</v>
      </c>
      <c r="D45" s="152">
        <f>SUM(D40:D44)</f>
        <v>0</v>
      </c>
      <c r="E45" s="152">
        <f>SUM(E40:E44)</f>
        <v>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2" t="s">
        <v>219</v>
      </c>
      <c r="C47" s="363"/>
      <c r="D47" s="28">
        <f>[1]!CAK3Reading</f>
        <v>0</v>
      </c>
      <c r="E47" s="147"/>
      <c r="F47" s="32">
        <v>7</v>
      </c>
      <c r="H47" s="18"/>
      <c r="I47" s="37"/>
      <c r="J47" s="37"/>
      <c r="K47" s="37"/>
      <c r="L47" s="37"/>
      <c r="M47" s="37"/>
      <c r="N47" s="308"/>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fitToHeight="1" fitToWidth="1" horizontalDpi="600" verticalDpi="600" orientation="landscape" scale="75"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A19">
      <selection activeCell="K9" sqref="K9"/>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Pima Prevention Partnership </v>
      </c>
      <c r="E1" s="69"/>
      <c r="F1" s="70" t="s">
        <v>54</v>
      </c>
      <c r="G1" s="41" t="str">
        <f>Cover!M1</f>
        <v>Maricopa</v>
      </c>
      <c r="H1" s="101"/>
      <c r="I1" s="101"/>
      <c r="J1" s="101"/>
      <c r="K1" s="70" t="s">
        <v>91</v>
      </c>
      <c r="L1" s="261" t="str">
        <f>Cover!R1</f>
        <v>108507000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7"/>
      <c r="E4" s="76"/>
      <c r="F4" s="104"/>
      <c r="G4" s="97" t="s">
        <v>96</v>
      </c>
      <c r="H4" s="162" t="s">
        <v>15</v>
      </c>
      <c r="I4" s="78"/>
      <c r="J4" s="365" t="s">
        <v>62</v>
      </c>
      <c r="K4" s="366"/>
      <c r="L4" s="78" t="s">
        <v>64</v>
      </c>
      <c r="M4" s="14"/>
      <c r="N4" s="14"/>
      <c r="O4" s="14"/>
    </row>
    <row r="5" spans="1:12" ht="10.5" customHeight="1">
      <c r="A5" s="4" t="s">
        <v>94</v>
      </c>
      <c r="B5" s="14"/>
      <c r="C5" s="14"/>
      <c r="D5" s="356"/>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4391</v>
      </c>
      <c r="G9" s="168">
        <v>1518</v>
      </c>
      <c r="H9" s="127"/>
      <c r="I9" s="127"/>
      <c r="J9" s="286">
        <f>[1]!CSP1011P100F1000</f>
        <v>78540</v>
      </c>
      <c r="K9" s="179">
        <f>SUM(F7:G9)</f>
        <v>5909</v>
      </c>
      <c r="L9" s="167">
        <f>IF(J9=0," ",(K9-J9)/J9)</f>
        <v>-0.925</v>
      </c>
      <c r="M9" s="107" t="s">
        <v>44</v>
      </c>
      <c r="N9" s="105"/>
    </row>
    <row r="10" spans="1:14" ht="10.5" customHeight="1">
      <c r="A10" s="88"/>
      <c r="B10" s="14"/>
      <c r="C10" s="14" t="s">
        <v>97</v>
      </c>
      <c r="D10" s="14"/>
      <c r="E10" s="3">
        <v>2</v>
      </c>
      <c r="F10" s="106"/>
      <c r="G10" s="106"/>
      <c r="H10" s="127"/>
      <c r="I10" s="127"/>
      <c r="J10" s="33">
        <f>[1]!CSP1011P100F2100</f>
        <v>0</v>
      </c>
      <c r="K10" s="10">
        <f>SUM(F10:G10)</f>
        <v>0</v>
      </c>
      <c r="L10" s="12" t="str">
        <f>IF(J10=0," ",(K10-J10)/J10)</f>
        <v> </v>
      </c>
      <c r="M10" s="107" t="s">
        <v>45</v>
      </c>
      <c r="N10" s="105"/>
    </row>
    <row r="11" spans="1:14" ht="10.5" customHeight="1">
      <c r="A11" s="88"/>
      <c r="B11" s="14"/>
      <c r="C11" s="14" t="s">
        <v>161</v>
      </c>
      <c r="D11" s="14"/>
      <c r="E11" s="3">
        <v>3</v>
      </c>
      <c r="F11" s="106"/>
      <c r="G11" s="106"/>
      <c r="H11" s="127"/>
      <c r="I11" s="127"/>
      <c r="J11" s="33">
        <f>[1]!CSP1011P100F2200</f>
        <v>0</v>
      </c>
      <c r="K11" s="10">
        <f>SUM(F11:G11)</f>
        <v>0</v>
      </c>
      <c r="L11" s="12" t="str">
        <f>IF(J11=0," ",(K11-J11)/J11)</f>
        <v> </v>
      </c>
      <c r="M11" s="107" t="s">
        <v>107</v>
      </c>
      <c r="N11" s="105"/>
    </row>
    <row r="12" spans="1:13" ht="10.5" customHeight="1">
      <c r="A12" s="94"/>
      <c r="B12" s="31" t="s">
        <v>98</v>
      </c>
      <c r="C12" s="31"/>
      <c r="D12" s="31"/>
      <c r="E12" s="5">
        <v>4</v>
      </c>
      <c r="F12" s="108">
        <f>SUM(F7:F11)</f>
        <v>4391</v>
      </c>
      <c r="G12" s="108">
        <f>SUM(G7:G11)</f>
        <v>1518</v>
      </c>
      <c r="H12" s="298"/>
      <c r="I12" s="298"/>
      <c r="J12" s="176">
        <f>SUM(J8:J11)</f>
        <v>78540</v>
      </c>
      <c r="K12" s="176">
        <f>SUM(K8:K11)</f>
        <v>5909</v>
      </c>
      <c r="L12" s="163">
        <f>IF(J12=0," ",(K12-J12)/J12)</f>
        <v>-0.925</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c r="G14" s="175"/>
      <c r="H14" s="127"/>
      <c r="I14" s="127"/>
      <c r="J14" s="286">
        <f>[1]!CSP1011P200F1000</f>
        <v>0</v>
      </c>
      <c r="K14" s="179">
        <f>SUM(F13:G14)</f>
        <v>0</v>
      </c>
      <c r="L14" s="167" t="str">
        <f>IF(J14=0," ",(K14-J14)/J14)</f>
        <v> </v>
      </c>
      <c r="M14" s="107" t="s">
        <v>109</v>
      </c>
      <c r="N14" s="105"/>
    </row>
    <row r="15" spans="1:14" ht="10.5" customHeight="1">
      <c r="A15" s="88"/>
      <c r="B15" s="14"/>
      <c r="C15" s="14" t="s">
        <v>97</v>
      </c>
      <c r="D15" s="14"/>
      <c r="E15" s="3">
        <v>6</v>
      </c>
      <c r="F15" s="8"/>
      <c r="G15" s="8"/>
      <c r="H15" s="127"/>
      <c r="I15" s="127"/>
      <c r="J15" s="33">
        <f>[1]!CSP1011P200F2100</f>
        <v>0</v>
      </c>
      <c r="K15" s="10">
        <f>SUM(F15:G15)</f>
        <v>0</v>
      </c>
      <c r="L15" s="12" t="str">
        <f>IF(J15=0," ",(K15-J15)/J15)</f>
        <v> </v>
      </c>
      <c r="M15" s="107" t="s">
        <v>110</v>
      </c>
      <c r="N15" s="105"/>
    </row>
    <row r="16" spans="1:14" ht="10.5" customHeight="1">
      <c r="A16" s="88"/>
      <c r="B16" s="14"/>
      <c r="C16" s="14" t="s">
        <v>161</v>
      </c>
      <c r="D16" s="14"/>
      <c r="E16" s="3">
        <v>7</v>
      </c>
      <c r="F16" s="8"/>
      <c r="G16" s="8"/>
      <c r="H16" s="127"/>
      <c r="I16" s="127"/>
      <c r="J16" s="8">
        <f>[1]!CSP1011P200F2200</f>
        <v>0</v>
      </c>
      <c r="K16" s="9">
        <f>SUM(F16:G16)</f>
        <v>0</v>
      </c>
      <c r="L16" s="12" t="str">
        <f>IF(J16=0," ",(K16-J16)/J16)</f>
        <v> </v>
      </c>
      <c r="M16" s="107" t="s">
        <v>111</v>
      </c>
      <c r="N16" s="105"/>
    </row>
    <row r="17" spans="1:14" ht="10.5" customHeight="1">
      <c r="A17" s="94"/>
      <c r="B17" s="31" t="s">
        <v>99</v>
      </c>
      <c r="C17" s="31"/>
      <c r="D17" s="31"/>
      <c r="E17" s="5">
        <v>8</v>
      </c>
      <c r="F17" s="9">
        <f>SUM(F13:F16)</f>
        <v>0</v>
      </c>
      <c r="G17" s="9">
        <f>SUM(G13:G16)</f>
        <v>0</v>
      </c>
      <c r="H17" s="285"/>
      <c r="I17" s="285"/>
      <c r="J17" s="177">
        <f>SUM(J14:J16)</f>
        <v>0</v>
      </c>
      <c r="K17" s="177">
        <f>SUM(K14:K16)</f>
        <v>0</v>
      </c>
      <c r="L17" s="163" t="str">
        <f>IF(J17=0," ",(K17-J17)/J17)</f>
        <v> </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c r="G19" s="175"/>
      <c r="H19" s="127"/>
      <c r="I19" s="127"/>
      <c r="J19" s="286">
        <f>[1]!CSP1011POtherF1000</f>
        <v>0</v>
      </c>
      <c r="K19" s="179">
        <f>SUM(F18:G19)</f>
        <v>0</v>
      </c>
      <c r="L19" s="167" t="str">
        <f>IF(J19=0," ",(K19-J19)/J19)</f>
        <v> </v>
      </c>
      <c r="M19" s="107" t="s">
        <v>113</v>
      </c>
      <c r="N19" s="105"/>
    </row>
    <row r="20" spans="1:14" ht="10.5" customHeight="1">
      <c r="A20" s="88"/>
      <c r="B20" s="14"/>
      <c r="C20" s="14" t="s">
        <v>97</v>
      </c>
      <c r="D20" s="14"/>
      <c r="E20" s="3">
        <v>10</v>
      </c>
      <c r="F20" s="8"/>
      <c r="G20" s="8"/>
      <c r="H20" s="127"/>
      <c r="I20" s="127"/>
      <c r="J20" s="33">
        <f>[1]!CSP1011POtherF2100</f>
        <v>0</v>
      </c>
      <c r="K20" s="10">
        <f>SUM(F20:G20)</f>
        <v>0</v>
      </c>
      <c r="L20" s="12" t="str">
        <f>IF(J20=0," ",(K20-J20)/J20)</f>
        <v> </v>
      </c>
      <c r="M20" s="107" t="s">
        <v>114</v>
      </c>
      <c r="N20" s="105"/>
    </row>
    <row r="21" spans="1:14" ht="10.5" customHeight="1">
      <c r="A21" s="88"/>
      <c r="B21" s="14"/>
      <c r="C21" s="14" t="s">
        <v>161</v>
      </c>
      <c r="D21" s="14"/>
      <c r="E21" s="3">
        <v>11</v>
      </c>
      <c r="F21" s="8"/>
      <c r="G21" s="8"/>
      <c r="H21" s="127"/>
      <c r="I21" s="127"/>
      <c r="J21" s="8">
        <f>[1]!CSP1011POtherF2200</f>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4391</v>
      </c>
      <c r="G23" s="9">
        <f>G12+G17+G22</f>
        <v>1518</v>
      </c>
      <c r="H23" s="285"/>
      <c r="I23" s="285"/>
      <c r="J23" s="9">
        <f>J12+J17+J22</f>
        <v>78540</v>
      </c>
      <c r="K23" s="9">
        <f>K12+K17+K22</f>
        <v>5909</v>
      </c>
      <c r="L23" s="12">
        <f>IF(J23=0," ",(K23-J23)/J23)</f>
        <v>-0.925</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32090</v>
      </c>
      <c r="G26" s="175">
        <v>11097</v>
      </c>
      <c r="H26" s="301"/>
      <c r="I26" s="127"/>
      <c r="J26" s="286">
        <f>[1]!CSP1012P100F1000</f>
        <v>15779</v>
      </c>
      <c r="K26" s="179">
        <f>SUM(F24:G26)</f>
        <v>43187</v>
      </c>
      <c r="L26" s="12">
        <f>IF(J26=0," ",(K26-J26)/J26)</f>
        <v>1.737</v>
      </c>
      <c r="M26" s="107" t="s">
        <v>118</v>
      </c>
      <c r="N26" s="105"/>
    </row>
    <row r="27" spans="1:14" ht="10.5" customHeight="1">
      <c r="A27" s="88"/>
      <c r="B27" s="14"/>
      <c r="C27" s="14" t="s">
        <v>97</v>
      </c>
      <c r="D27" s="14"/>
      <c r="E27" s="3">
        <v>15</v>
      </c>
      <c r="F27" s="111"/>
      <c r="G27" s="111"/>
      <c r="H27" s="127"/>
      <c r="I27" s="127"/>
      <c r="J27" s="33">
        <f>[1]!CSP1012P100F2100</f>
        <v>0</v>
      </c>
      <c r="K27" s="10">
        <f>SUM(F27:G27)</f>
        <v>0</v>
      </c>
      <c r="L27" s="12" t="str">
        <f>IF(J27=0," ",(K27-J27)/J27)</f>
        <v> </v>
      </c>
      <c r="M27" s="107" t="s">
        <v>119</v>
      </c>
      <c r="N27" s="105"/>
    </row>
    <row r="28" spans="1:14" ht="10.5" customHeight="1">
      <c r="A28" s="88"/>
      <c r="B28" s="14"/>
      <c r="C28" s="14" t="s">
        <v>161</v>
      </c>
      <c r="D28" s="14"/>
      <c r="E28" s="3">
        <v>16</v>
      </c>
      <c r="F28" s="111"/>
      <c r="G28" s="111"/>
      <c r="H28" s="127"/>
      <c r="I28" s="127"/>
      <c r="J28" s="8">
        <f>[1]!CSP1012P100F2200</f>
        <v>0</v>
      </c>
      <c r="K28" s="9">
        <f>SUM(F28:G28)</f>
        <v>0</v>
      </c>
      <c r="L28" s="12" t="str">
        <f>IF(J28=0," ",(K28-J28)/J28)</f>
        <v> </v>
      </c>
      <c r="M28" s="107" t="s">
        <v>120</v>
      </c>
      <c r="N28" s="105"/>
    </row>
    <row r="29" spans="1:13" ht="10.5" customHeight="1">
      <c r="A29" s="94"/>
      <c r="B29" s="31" t="s">
        <v>103</v>
      </c>
      <c r="C29" s="31"/>
      <c r="D29" s="31"/>
      <c r="E29" s="5">
        <v>17</v>
      </c>
      <c r="F29" s="112">
        <f>SUM(F24:F28)</f>
        <v>32090</v>
      </c>
      <c r="G29" s="112">
        <f>SUM(G24:G28)</f>
        <v>11097</v>
      </c>
      <c r="H29" s="285"/>
      <c r="I29" s="285"/>
      <c r="J29" s="177">
        <f>SUM(J25:J28)</f>
        <v>15779</v>
      </c>
      <c r="K29" s="177">
        <f>SUM(K25:K28)</f>
        <v>43187</v>
      </c>
      <c r="L29" s="163">
        <f>IF(J29=0," ",(K29-J29)/J29)</f>
        <v>1.737</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c r="G31" s="175"/>
      <c r="H31" s="301"/>
      <c r="I31" s="127"/>
      <c r="J31" s="286">
        <f>[1]!CSP1012P200F1000</f>
        <v>0</v>
      </c>
      <c r="K31" s="179">
        <f>SUM(F30:G31)</f>
        <v>0</v>
      </c>
      <c r="L31" s="167" t="str">
        <f>IF(J31=0," ",(K31-J31)/J31)</f>
        <v> </v>
      </c>
      <c r="M31" s="107" t="s">
        <v>122</v>
      </c>
      <c r="N31" s="105"/>
    </row>
    <row r="32" spans="1:14" ht="10.5" customHeight="1">
      <c r="A32" s="88"/>
      <c r="B32" s="14"/>
      <c r="C32" s="14" t="s">
        <v>97</v>
      </c>
      <c r="D32" s="14"/>
      <c r="E32" s="3">
        <v>19</v>
      </c>
      <c r="F32" s="8"/>
      <c r="G32" s="8"/>
      <c r="H32" s="127"/>
      <c r="I32" s="127"/>
      <c r="J32" s="33">
        <f>[1]!CSP1012P200F2100</f>
        <v>0</v>
      </c>
      <c r="K32" s="10">
        <f>SUM(F32:G32)</f>
        <v>0</v>
      </c>
      <c r="L32" s="12" t="str">
        <f>IF(J32=0," ",(K32-J32)/J32)</f>
        <v> </v>
      </c>
      <c r="M32" s="107" t="s">
        <v>123</v>
      </c>
      <c r="N32" s="105"/>
    </row>
    <row r="33" spans="1:14" ht="10.5" customHeight="1">
      <c r="A33" s="88"/>
      <c r="B33" s="14"/>
      <c r="C33" s="14" t="s">
        <v>161</v>
      </c>
      <c r="D33" s="14"/>
      <c r="E33" s="3">
        <v>20</v>
      </c>
      <c r="F33" s="8"/>
      <c r="G33" s="8"/>
      <c r="H33" s="127"/>
      <c r="I33" s="127"/>
      <c r="J33" s="8">
        <f>[1]!CSP1012P200F2200</f>
        <v>0</v>
      </c>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5"/>
      <c r="I34" s="285"/>
      <c r="J34" s="177">
        <f>SUM(J31:J33)</f>
        <v>0</v>
      </c>
      <c r="K34" s="177">
        <f>SUM(K31:K33)</f>
        <v>0</v>
      </c>
      <c r="L34" s="163" t="str">
        <f>IF(J34=0," ",(K34-J34)/J34)</f>
        <v> </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c r="G36" s="175"/>
      <c r="H36" s="301"/>
      <c r="I36" s="127"/>
      <c r="J36" s="286">
        <f>[1]!CSP1012POtherF1000</f>
        <v>0</v>
      </c>
      <c r="K36" s="179">
        <f>SUM(F35:G36)</f>
        <v>0</v>
      </c>
      <c r="L36" s="167" t="str">
        <f>IF(J36=0," ",(K36-J36)/J36)</f>
        <v> </v>
      </c>
      <c r="M36" s="107" t="s">
        <v>126</v>
      </c>
      <c r="N36" s="105"/>
    </row>
    <row r="37" spans="1:14" ht="10.5" customHeight="1">
      <c r="A37" s="88"/>
      <c r="B37" s="14"/>
      <c r="C37" s="14" t="s">
        <v>97</v>
      </c>
      <c r="D37" s="14"/>
      <c r="E37" s="3">
        <v>23</v>
      </c>
      <c r="F37" s="8"/>
      <c r="G37" s="8"/>
      <c r="H37" s="127"/>
      <c r="I37" s="127"/>
      <c r="J37" s="33">
        <f>[1]!CSP1012POtherF2100</f>
        <v>0</v>
      </c>
      <c r="K37" s="10">
        <f>SUM(F37:G37)</f>
        <v>0</v>
      </c>
      <c r="L37" s="12" t="str">
        <f>IF(J37=0," ",(K37-J37)/J37)</f>
        <v> </v>
      </c>
      <c r="M37" s="107" t="s">
        <v>127</v>
      </c>
      <c r="N37" s="105"/>
    </row>
    <row r="38" spans="1:14" ht="10.5" customHeight="1">
      <c r="A38" s="88"/>
      <c r="B38" s="14"/>
      <c r="C38" s="14" t="s">
        <v>161</v>
      </c>
      <c r="D38" s="14"/>
      <c r="E38" s="3">
        <v>24</v>
      </c>
      <c r="F38" s="8"/>
      <c r="G38" s="8"/>
      <c r="H38" s="127"/>
      <c r="I38" s="127"/>
      <c r="J38" s="8">
        <f>[1]!CSP1012POtherF2200</f>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32090</v>
      </c>
      <c r="G40" s="10">
        <f>G29+G34+G39</f>
        <v>11097</v>
      </c>
      <c r="H40" s="127"/>
      <c r="I40" s="127"/>
      <c r="J40" s="10">
        <f>J29+J34+J39</f>
        <v>15779</v>
      </c>
      <c r="K40" s="10">
        <f>K29+K34+K39</f>
        <v>43187</v>
      </c>
      <c r="L40" s="12">
        <f>IF(J40=0," ",(K40-J40)/J40)</f>
        <v>1.737</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7083</v>
      </c>
      <c r="G43" s="106">
        <v>2449</v>
      </c>
      <c r="H43" s="106"/>
      <c r="I43" s="168"/>
      <c r="J43" s="106">
        <f>[1]!CSP1013P100F1000</f>
        <v>55072</v>
      </c>
      <c r="K43" s="108">
        <f>SUM(F43:I43)</f>
        <v>9532</v>
      </c>
      <c r="L43" s="167">
        <f>IF(J43=0," ",(K43-J43)/J43)</f>
        <v>-0.827</v>
      </c>
      <c r="M43" s="2">
        <v>27</v>
      </c>
      <c r="N43" s="2"/>
    </row>
    <row r="44" spans="1:13" ht="10.5" customHeight="1">
      <c r="A44" s="88"/>
      <c r="C44" s="14" t="s">
        <v>162</v>
      </c>
      <c r="D44" s="14"/>
      <c r="E44" s="3">
        <v>28</v>
      </c>
      <c r="F44" s="144"/>
      <c r="G44" s="106"/>
      <c r="H44" s="106"/>
      <c r="I44" s="106"/>
      <c r="J44" s="26">
        <f>[1]!CSP1013P100F2100</f>
        <v>0</v>
      </c>
      <c r="K44" s="132">
        <f>SUM(F44:I44)</f>
        <v>0</v>
      </c>
      <c r="L44" s="133" t="str">
        <f>IF(J44=0," ",(K44-J44)/J44)</f>
        <v> </v>
      </c>
      <c r="M44" s="91">
        <v>28</v>
      </c>
    </row>
    <row r="45" spans="1:13" ht="10.5" customHeight="1">
      <c r="A45" s="88"/>
      <c r="C45" s="14" t="s">
        <v>161</v>
      </c>
      <c r="D45" s="14"/>
      <c r="E45" s="3">
        <v>29</v>
      </c>
      <c r="F45" s="145"/>
      <c r="G45" s="25"/>
      <c r="H45" s="25"/>
      <c r="I45" s="25"/>
      <c r="J45" s="26">
        <f>[1]!CSP1013P100F2200</f>
        <v>0</v>
      </c>
      <c r="K45" s="20">
        <f>SUM(F45:I45)</f>
        <v>0</v>
      </c>
      <c r="L45" s="131" t="str">
        <f>IF(J45=0," ",(K45-J45)/J45)</f>
        <v> </v>
      </c>
      <c r="M45" s="91">
        <v>29</v>
      </c>
    </row>
    <row r="46" spans="1:13" ht="10.5" customHeight="1">
      <c r="A46" s="94"/>
      <c r="B46" s="137" t="s">
        <v>259</v>
      </c>
      <c r="C46" s="31"/>
      <c r="D46" s="31"/>
      <c r="E46" s="23">
        <v>30</v>
      </c>
      <c r="F46" s="29">
        <f>SUM(F41:F45)</f>
        <v>7083</v>
      </c>
      <c r="G46" s="6">
        <f>SUM(G41:G45)</f>
        <v>2449</v>
      </c>
      <c r="H46" s="6">
        <f>SUM(H41:H45)</f>
        <v>0</v>
      </c>
      <c r="I46" s="6">
        <f>SUM(I41:I45)</f>
        <v>0</v>
      </c>
      <c r="J46" s="164">
        <f>SUM(J42:J45)</f>
        <v>55072</v>
      </c>
      <c r="K46" s="164">
        <f>SUM(F46:I46)</f>
        <v>9532</v>
      </c>
      <c r="L46" s="163">
        <f>IF(J46=0," ",(K46-J46)/J46)</f>
        <v>-0.827</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8"/>
      <c r="J48" s="106">
        <f>[1]!CSP1013P200F1000</f>
        <v>0</v>
      </c>
      <c r="K48" s="108">
        <f>SUM(F48:I48)</f>
        <v>0</v>
      </c>
      <c r="L48" s="167" t="str">
        <f>IF(J48=0," ",(K48-J48)/J48)</f>
        <v> </v>
      </c>
      <c r="M48" s="2">
        <v>31</v>
      </c>
    </row>
    <row r="49" spans="1:13" ht="10.5" customHeight="1">
      <c r="A49" s="88"/>
      <c r="C49" s="14" t="s">
        <v>162</v>
      </c>
      <c r="D49" s="14"/>
      <c r="E49" s="21">
        <v>32</v>
      </c>
      <c r="F49" s="144"/>
      <c r="G49" s="106"/>
      <c r="H49" s="106"/>
      <c r="I49" s="106"/>
      <c r="J49" s="106">
        <f>[1]!CSP1013P200F2100</f>
        <v>0</v>
      </c>
      <c r="K49" s="128">
        <f>SUM(F49:I49)</f>
        <v>0</v>
      </c>
      <c r="L49" s="129" t="str">
        <f>IF(J49=0," ",(K49-J49)/J49)</f>
        <v> </v>
      </c>
      <c r="M49" s="91">
        <v>32</v>
      </c>
    </row>
    <row r="50" spans="1:13" ht="10.5" customHeight="1">
      <c r="A50" s="88"/>
      <c r="C50" s="14" t="s">
        <v>161</v>
      </c>
      <c r="D50" s="14"/>
      <c r="E50" s="21">
        <v>33</v>
      </c>
      <c r="F50" s="145"/>
      <c r="G50" s="25"/>
      <c r="H50" s="25"/>
      <c r="I50" s="25"/>
      <c r="J50" s="26">
        <f>[1]!CSP1013P200F2200</f>
        <v>0</v>
      </c>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f>SUM(J48:J50)</f>
        <v>0</v>
      </c>
      <c r="K51" s="164">
        <f>SUM(F51:I51)</f>
        <v>0</v>
      </c>
      <c r="L51" s="163"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8"/>
      <c r="J53" s="106">
        <f>[1]!CSP1013P530F1000</f>
        <v>0</v>
      </c>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8"/>
      <c r="J55" s="106">
        <f>[1]!CSP1013POtherF1000</f>
        <v>0</v>
      </c>
      <c r="K55" s="108">
        <f>SUM(F55:I55)</f>
        <v>0</v>
      </c>
      <c r="L55" s="167" t="str">
        <f>IF(J55=0," ",(K55-J55)/J55)</f>
        <v> </v>
      </c>
      <c r="M55" s="2">
        <v>36</v>
      </c>
    </row>
    <row r="56" spans="1:13" ht="10.5" customHeight="1">
      <c r="A56" s="88"/>
      <c r="C56" s="138" t="s">
        <v>182</v>
      </c>
      <c r="D56" s="14"/>
      <c r="E56" s="3">
        <v>37</v>
      </c>
      <c r="F56" s="145"/>
      <c r="G56" s="25"/>
      <c r="H56" s="25"/>
      <c r="I56" s="25"/>
      <c r="J56" s="25">
        <f>[1]!CSP1013POtherF21002200</f>
        <v>0</v>
      </c>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262</v>
      </c>
      <c r="B58" s="96"/>
      <c r="C58" s="31"/>
      <c r="D58" s="96"/>
      <c r="E58" s="22">
        <v>39</v>
      </c>
      <c r="F58" s="29">
        <f>F46+F51+F52+F53+F57</f>
        <v>7083</v>
      </c>
      <c r="G58" s="6">
        <f>G46+G51+G52+G53+G57</f>
        <v>2449</v>
      </c>
      <c r="H58" s="6">
        <f>H46+H51+H52+H53+H57</f>
        <v>0</v>
      </c>
      <c r="I58" s="6">
        <f>I46+I51+I52+I53+I57</f>
        <v>0</v>
      </c>
      <c r="J58" s="6">
        <f>J46+J51+J53+J57</f>
        <v>55072</v>
      </c>
      <c r="K58" s="6">
        <f>K46+K51+K53+K57</f>
        <v>9532</v>
      </c>
      <c r="L58" s="12">
        <f t="shared" si="0"/>
        <v>-0.827</v>
      </c>
      <c r="M58" s="91">
        <v>39</v>
      </c>
    </row>
    <row r="59" spans="1:13" ht="12.75">
      <c r="A59" s="139" t="s">
        <v>263</v>
      </c>
      <c r="B59" s="96"/>
      <c r="C59" s="96"/>
      <c r="D59" s="96"/>
      <c r="E59" s="22">
        <v>40</v>
      </c>
      <c r="F59" s="29">
        <f>F23+F40+F58</f>
        <v>43564</v>
      </c>
      <c r="G59" s="29">
        <f>G23+G40+G58</f>
        <v>15064</v>
      </c>
      <c r="H59" s="30">
        <f>H58</f>
        <v>0</v>
      </c>
      <c r="I59" s="30">
        <f>I58</f>
        <v>0</v>
      </c>
      <c r="J59" s="30">
        <f>J23+J40+J58</f>
        <v>149391</v>
      </c>
      <c r="K59" s="29">
        <f>SUM(F59:I59)</f>
        <v>58628</v>
      </c>
      <c r="L59" s="12">
        <f t="shared" si="0"/>
        <v>-0.608</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
      <selection activeCell="A1" sqref="A1"/>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8" t="str">
        <f>Cover!D1</f>
        <v>Pima Prevention Partnership </v>
      </c>
      <c r="E1" s="368"/>
      <c r="F1" s="368"/>
      <c r="G1" s="69"/>
      <c r="H1" s="17"/>
      <c r="I1" s="70" t="s">
        <v>54</v>
      </c>
      <c r="J1" s="355" t="str">
        <f>Cover!M1</f>
        <v>Maricopa</v>
      </c>
      <c r="K1" s="355"/>
      <c r="L1" s="17"/>
      <c r="M1" s="70" t="s">
        <v>91</v>
      </c>
      <c r="N1" s="355" t="str">
        <f>Cover!R1</f>
        <v>108507000</v>
      </c>
      <c r="O1" s="355"/>
      <c r="P1" s="17"/>
    </row>
    <row r="2" spans="1:16" ht="12.75">
      <c r="A2" s="71"/>
      <c r="B2" s="71"/>
      <c r="C2" s="254"/>
      <c r="D2" s="71"/>
      <c r="E2" s="71"/>
      <c r="F2" s="71"/>
      <c r="G2" s="71"/>
      <c r="H2" s="71"/>
      <c r="I2" s="71"/>
      <c r="J2" s="71"/>
      <c r="K2" s="14"/>
      <c r="L2" s="14"/>
      <c r="M2" s="14"/>
      <c r="N2" s="14"/>
      <c r="O2" s="17"/>
      <c r="P2" s="17"/>
    </row>
    <row r="3" spans="1:16" ht="12.75">
      <c r="A3" s="72"/>
      <c r="B3" s="73"/>
      <c r="C3" s="73"/>
      <c r="D3" s="367"/>
      <c r="E3" s="74"/>
      <c r="F3" s="75" t="s">
        <v>143</v>
      </c>
      <c r="G3" s="76"/>
      <c r="H3" s="77"/>
      <c r="I3" s="77"/>
      <c r="J3" s="78" t="s">
        <v>15</v>
      </c>
      <c r="K3" s="1"/>
      <c r="L3" s="1"/>
      <c r="M3" s="79" t="s">
        <v>62</v>
      </c>
      <c r="N3" s="80"/>
      <c r="O3" s="77"/>
      <c r="P3" s="17"/>
    </row>
    <row r="4" spans="1:16" ht="12.75">
      <c r="A4" s="4"/>
      <c r="B4" s="14"/>
      <c r="C4" s="14"/>
      <c r="D4" s="356"/>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f>[1]!SEIP1071P260F1000PPL</f>
        <v>0</v>
      </c>
      <c r="G9" s="185"/>
      <c r="H9" s="106"/>
      <c r="I9" s="106"/>
      <c r="J9" s="106"/>
      <c r="K9" s="106"/>
      <c r="L9" s="168"/>
      <c r="M9" s="106">
        <f>[1]!SEIP1071P260F1000</f>
        <v>0</v>
      </c>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f>[1]!SEIP1071P260F2100PPL</f>
        <v>0</v>
      </c>
      <c r="G11" s="185"/>
      <c r="H11" s="106"/>
      <c r="I11" s="106"/>
      <c r="J11" s="106"/>
      <c r="K11" s="106"/>
      <c r="L11" s="168"/>
      <c r="M11" s="106">
        <f>[1]!SEIP1071P260F2100</f>
        <v>0</v>
      </c>
      <c r="N11" s="108">
        <f>SUM(H10:L11)</f>
        <v>0</v>
      </c>
      <c r="O11" s="167" t="str">
        <f>IF(M11=0," ",(N11-M11)/M11)</f>
        <v> </v>
      </c>
      <c r="P11" s="2">
        <v>2</v>
      </c>
    </row>
    <row r="12" spans="1:16" ht="12.75">
      <c r="A12" s="88"/>
      <c r="B12" s="14"/>
      <c r="C12" s="14" t="s">
        <v>166</v>
      </c>
      <c r="D12" s="14"/>
      <c r="E12" s="21">
        <v>3</v>
      </c>
      <c r="F12" s="143">
        <f>[1]!SEIP1071P260F2200PPL</f>
        <v>0</v>
      </c>
      <c r="G12" s="134"/>
      <c r="H12" s="135"/>
      <c r="I12" s="135"/>
      <c r="J12" s="135"/>
      <c r="K12" s="135"/>
      <c r="L12" s="135"/>
      <c r="M12" s="34">
        <f>[1]!SEIP1071P260F2200</f>
        <v>0</v>
      </c>
      <c r="N12" s="6">
        <f aca="true" t="shared" si="0" ref="N12:N17">SUM(H12:L12)</f>
        <v>0</v>
      </c>
      <c r="O12" s="166" t="str">
        <f aca="true" t="shared" si="1" ref="O12:O18">IF(M12=0," ",(N12-M12)/M12)</f>
        <v> </v>
      </c>
      <c r="P12" s="91">
        <v>3</v>
      </c>
    </row>
    <row r="13" spans="1:16" ht="12.75">
      <c r="A13" s="88"/>
      <c r="B13" s="14"/>
      <c r="C13" s="14" t="s">
        <v>164</v>
      </c>
      <c r="D13" s="14"/>
      <c r="E13" s="21">
        <v>4</v>
      </c>
      <c r="F13" s="142">
        <f>[1]!SEIP1071P260F2300PPL</f>
        <v>0</v>
      </c>
      <c r="G13" s="134"/>
      <c r="H13" s="135"/>
      <c r="I13" s="135"/>
      <c r="J13" s="135"/>
      <c r="K13" s="135"/>
      <c r="L13" s="135"/>
      <c r="M13" s="135">
        <f>[1]!SEIP1071P260F2300</f>
        <v>0</v>
      </c>
      <c r="N13" s="20">
        <f t="shared" si="0"/>
        <v>0</v>
      </c>
      <c r="O13" s="136" t="str">
        <f t="shared" si="1"/>
        <v> </v>
      </c>
      <c r="P13" s="91">
        <v>4</v>
      </c>
    </row>
    <row r="14" spans="1:16" ht="12.75">
      <c r="A14" s="88"/>
      <c r="B14" s="14"/>
      <c r="C14" s="14" t="s">
        <v>165</v>
      </c>
      <c r="D14" s="14"/>
      <c r="E14" s="21">
        <v>5</v>
      </c>
      <c r="F14" s="142">
        <f>[1]!SEIP1071P260F2400PPL</f>
        <v>0</v>
      </c>
      <c r="G14" s="134"/>
      <c r="H14" s="135"/>
      <c r="I14" s="135"/>
      <c r="J14" s="135"/>
      <c r="K14" s="135"/>
      <c r="L14" s="135"/>
      <c r="M14" s="135">
        <f>[1]!SEIP1071P260F2400</f>
        <v>0</v>
      </c>
      <c r="N14" s="20">
        <f t="shared" si="0"/>
        <v>0</v>
      </c>
      <c r="O14" s="136" t="str">
        <f t="shared" si="1"/>
        <v> </v>
      </c>
      <c r="P14" s="91">
        <v>5</v>
      </c>
    </row>
    <row r="15" spans="1:16" ht="12.75">
      <c r="A15" s="88"/>
      <c r="B15" s="14"/>
      <c r="C15" s="14" t="s">
        <v>167</v>
      </c>
      <c r="D15" s="14"/>
      <c r="E15" s="21">
        <v>6</v>
      </c>
      <c r="F15" s="142">
        <f>[1]!SEIP1071P260F2500PPL</f>
        <v>0</v>
      </c>
      <c r="G15" s="134"/>
      <c r="H15" s="135"/>
      <c r="I15" s="135"/>
      <c r="J15" s="135"/>
      <c r="K15" s="135"/>
      <c r="L15" s="135"/>
      <c r="M15" s="135">
        <f>[1]!SEIP1071P260F2500</f>
        <v>0</v>
      </c>
      <c r="N15" s="20">
        <f t="shared" si="0"/>
        <v>0</v>
      </c>
      <c r="O15" s="136" t="str">
        <f t="shared" si="1"/>
        <v> </v>
      </c>
      <c r="P15" s="91">
        <v>6</v>
      </c>
    </row>
    <row r="16" spans="1:16" ht="12.75">
      <c r="A16" s="88"/>
      <c r="B16" s="14"/>
      <c r="C16" s="14" t="s">
        <v>168</v>
      </c>
      <c r="D16" s="14"/>
      <c r="E16" s="21">
        <v>7</v>
      </c>
      <c r="F16" s="142">
        <f>[1]!SEIP1071P260F2600PPL</f>
        <v>0</v>
      </c>
      <c r="G16" s="92"/>
      <c r="H16" s="26"/>
      <c r="I16" s="26"/>
      <c r="J16" s="26"/>
      <c r="K16" s="26"/>
      <c r="L16" s="26"/>
      <c r="M16" s="135">
        <f>[1]!SEIP1071P260F2600</f>
        <v>0</v>
      </c>
      <c r="N16" s="20">
        <f t="shared" si="0"/>
        <v>0</v>
      </c>
      <c r="O16" s="136" t="str">
        <f t="shared" si="1"/>
        <v> </v>
      </c>
      <c r="P16" s="91">
        <v>7</v>
      </c>
    </row>
    <row r="17" spans="1:16" ht="12.75">
      <c r="A17" s="88"/>
      <c r="B17" s="14"/>
      <c r="C17" s="14" t="s">
        <v>171</v>
      </c>
      <c r="D17" s="14"/>
      <c r="E17" s="21">
        <v>8</v>
      </c>
      <c r="F17" s="142">
        <f>[1]!SEIP1071P260F2900PPL</f>
        <v>0</v>
      </c>
      <c r="G17" s="93"/>
      <c r="H17" s="25"/>
      <c r="I17" s="25"/>
      <c r="J17" s="25"/>
      <c r="K17" s="25"/>
      <c r="L17" s="25"/>
      <c r="M17" s="135">
        <f>[1]!SEIP1071P260F2900</f>
        <v>0</v>
      </c>
      <c r="N17" s="20">
        <f t="shared" si="0"/>
        <v>0</v>
      </c>
      <c r="O17" s="136" t="str">
        <f t="shared" si="1"/>
        <v> </v>
      </c>
      <c r="P17" s="91">
        <v>8</v>
      </c>
    </row>
    <row r="18" spans="1:16" ht="12.75">
      <c r="A18" s="94"/>
      <c r="B18" s="137" t="s">
        <v>177</v>
      </c>
      <c r="C18" s="31"/>
      <c r="D18" s="31"/>
      <c r="E18" s="23">
        <v>9</v>
      </c>
      <c r="F18" s="190">
        <f>SUM(F8:F17)</f>
        <v>0</v>
      </c>
      <c r="G18" s="95">
        <f aca="true" t="shared" si="2" ref="G18:L18">SUM(G7:G17)</f>
        <v>0</v>
      </c>
      <c r="H18" s="6">
        <f t="shared" si="2"/>
        <v>0</v>
      </c>
      <c r="I18" s="6">
        <f t="shared" si="2"/>
        <v>0</v>
      </c>
      <c r="J18" s="6">
        <f t="shared" si="2"/>
        <v>0</v>
      </c>
      <c r="K18" s="6">
        <f t="shared" si="2"/>
        <v>0</v>
      </c>
      <c r="L18" s="6">
        <f t="shared" si="2"/>
        <v>0</v>
      </c>
      <c r="M18" s="164">
        <f>SUM(M8:M17)</f>
        <v>0</v>
      </c>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f>[1]!SEIP1071P430F2700PPL</f>
        <v>0</v>
      </c>
      <c r="G21" s="185"/>
      <c r="H21" s="106"/>
      <c r="I21" s="106"/>
      <c r="J21" s="106"/>
      <c r="K21" s="106"/>
      <c r="L21" s="168"/>
      <c r="M21" s="106">
        <f>[1]!SEIP1071P430F2700</f>
        <v>0</v>
      </c>
      <c r="N21" s="169">
        <f>SUM(H19:L21)</f>
        <v>0</v>
      </c>
      <c r="O21" s="183"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f>[1]!CIP1072P265F1000PPL</f>
        <v>0</v>
      </c>
      <c r="G30" s="185"/>
      <c r="H30" s="106"/>
      <c r="I30" s="106"/>
      <c r="J30" s="106"/>
      <c r="K30" s="106"/>
      <c r="L30" s="168"/>
      <c r="M30" s="106">
        <f>[1]!CIP1072P265F1000</f>
        <v>0</v>
      </c>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f>[1]!CIP1072P265F2100PPL</f>
        <v>0</v>
      </c>
      <c r="G32" s="185"/>
      <c r="H32" s="106"/>
      <c r="I32" s="106"/>
      <c r="J32" s="106"/>
      <c r="K32" s="106"/>
      <c r="L32" s="168"/>
      <c r="M32" s="106">
        <f>[1]!CIP1072P265F2100</f>
        <v>0</v>
      </c>
      <c r="N32" s="108">
        <f>SUM(H31:L32)</f>
        <v>0</v>
      </c>
      <c r="O32" s="167" t="str">
        <f>IF(M32=0," ",(N32-M32)/M32)</f>
        <v> </v>
      </c>
      <c r="P32" s="2">
        <v>13</v>
      </c>
    </row>
    <row r="33" spans="1:16" ht="12.75">
      <c r="A33" s="88"/>
      <c r="B33" s="17"/>
      <c r="C33" s="14" t="s">
        <v>166</v>
      </c>
      <c r="D33" s="14"/>
      <c r="E33" s="21">
        <v>14</v>
      </c>
      <c r="F33" s="143">
        <f>[1]!CIP1072P265F2200PPL</f>
        <v>0</v>
      </c>
      <c r="G33" s="134"/>
      <c r="H33" s="135"/>
      <c r="I33" s="135"/>
      <c r="J33" s="135"/>
      <c r="K33" s="135"/>
      <c r="L33" s="135"/>
      <c r="M33" s="34">
        <f>[1]!CIP1072P265F2200</f>
        <v>0</v>
      </c>
      <c r="N33" s="6">
        <f aca="true" t="shared" si="4" ref="N33:N38">SUM(H33:L33)</f>
        <v>0</v>
      </c>
      <c r="O33" s="166" t="str">
        <f aca="true" t="shared" si="5" ref="O33:O39">IF(M33=0," ",(N33-M33)/M33)</f>
        <v> </v>
      </c>
      <c r="P33" s="91">
        <v>14</v>
      </c>
    </row>
    <row r="34" spans="1:16" ht="12.75">
      <c r="A34" s="88"/>
      <c r="B34" s="17"/>
      <c r="C34" s="14" t="s">
        <v>164</v>
      </c>
      <c r="D34" s="14"/>
      <c r="E34" s="21">
        <v>15</v>
      </c>
      <c r="F34" s="143">
        <f>[1]!CIP1072P265F2300PPL</f>
        <v>0</v>
      </c>
      <c r="G34" s="90"/>
      <c r="H34" s="34"/>
      <c r="I34" s="34"/>
      <c r="J34" s="34"/>
      <c r="K34" s="34"/>
      <c r="L34" s="34"/>
      <c r="M34" s="135">
        <f>[1]!CIP1072P265F2300</f>
        <v>0</v>
      </c>
      <c r="N34" s="20">
        <f t="shared" si="4"/>
        <v>0</v>
      </c>
      <c r="O34" s="136" t="str">
        <f t="shared" si="5"/>
        <v> </v>
      </c>
      <c r="P34" s="91">
        <v>15</v>
      </c>
    </row>
    <row r="35" spans="1:16" ht="12.75">
      <c r="A35" s="88"/>
      <c r="B35" s="17"/>
      <c r="C35" s="14" t="s">
        <v>165</v>
      </c>
      <c r="D35" s="14"/>
      <c r="E35" s="21">
        <v>16</v>
      </c>
      <c r="F35" s="143">
        <f>[1]!CIP1072P265F2400PPL</f>
        <v>0</v>
      </c>
      <c r="G35" s="90"/>
      <c r="H35" s="34"/>
      <c r="I35" s="34"/>
      <c r="J35" s="34"/>
      <c r="K35" s="34"/>
      <c r="L35" s="34"/>
      <c r="M35" s="135">
        <f>[1]!CIP1072P265F2400</f>
        <v>0</v>
      </c>
      <c r="N35" s="20">
        <f t="shared" si="4"/>
        <v>0</v>
      </c>
      <c r="O35" s="136" t="str">
        <f t="shared" si="5"/>
        <v> </v>
      </c>
      <c r="P35" s="91">
        <v>16</v>
      </c>
    </row>
    <row r="36" spans="1:16" ht="12.75">
      <c r="A36" s="88"/>
      <c r="B36" s="17"/>
      <c r="C36" s="14" t="s">
        <v>167</v>
      </c>
      <c r="D36" s="14"/>
      <c r="E36" s="21">
        <v>17</v>
      </c>
      <c r="F36" s="143">
        <f>[1]!CIP1072P265F2500PPL</f>
        <v>0</v>
      </c>
      <c r="G36" s="90"/>
      <c r="H36" s="34"/>
      <c r="I36" s="34"/>
      <c r="J36" s="34"/>
      <c r="K36" s="34"/>
      <c r="L36" s="34"/>
      <c r="M36" s="135">
        <f>[1]!CIP1072P265F2500</f>
        <v>0</v>
      </c>
      <c r="N36" s="20">
        <f t="shared" si="4"/>
        <v>0</v>
      </c>
      <c r="O36" s="136" t="str">
        <f t="shared" si="5"/>
        <v> </v>
      </c>
      <c r="P36" s="91">
        <v>17</v>
      </c>
    </row>
    <row r="37" spans="1:16" ht="12.75">
      <c r="A37" s="88"/>
      <c r="B37" s="17"/>
      <c r="C37" s="14" t="s">
        <v>168</v>
      </c>
      <c r="D37" s="14"/>
      <c r="E37" s="21">
        <v>18</v>
      </c>
      <c r="F37" s="142">
        <f>[1]!CIP1072P265F2600PPL</f>
        <v>0</v>
      </c>
      <c r="G37" s="92"/>
      <c r="H37" s="26"/>
      <c r="I37" s="26"/>
      <c r="J37" s="26"/>
      <c r="K37" s="26"/>
      <c r="L37" s="26"/>
      <c r="M37" s="135">
        <f>[1]!CIP1072P265F2600</f>
        <v>0</v>
      </c>
      <c r="N37" s="20">
        <f t="shared" si="4"/>
        <v>0</v>
      </c>
      <c r="O37" s="136" t="str">
        <f t="shared" si="5"/>
        <v> </v>
      </c>
      <c r="P37" s="91">
        <v>18</v>
      </c>
    </row>
    <row r="38" spans="1:16" ht="12.75">
      <c r="A38" s="88"/>
      <c r="B38" s="17"/>
      <c r="C38" s="14" t="s">
        <v>171</v>
      </c>
      <c r="D38" s="14"/>
      <c r="E38" s="21">
        <v>19</v>
      </c>
      <c r="F38" s="143">
        <f>[1]!CIP1072P265F2900PPL</f>
        <v>0</v>
      </c>
      <c r="G38" s="93"/>
      <c r="H38" s="25"/>
      <c r="I38" s="25"/>
      <c r="J38" s="25"/>
      <c r="K38" s="25"/>
      <c r="L38" s="25"/>
      <c r="M38" s="135">
        <f>[1]!CIP1072P265F2900</f>
        <v>0</v>
      </c>
      <c r="N38" s="20">
        <f t="shared" si="4"/>
        <v>0</v>
      </c>
      <c r="O38" s="136" t="str">
        <f t="shared" si="5"/>
        <v> </v>
      </c>
      <c r="P38" s="91">
        <v>19</v>
      </c>
    </row>
    <row r="39" spans="1:16" ht="12.75">
      <c r="A39" s="94"/>
      <c r="B39" s="137" t="s">
        <v>179</v>
      </c>
      <c r="C39" s="31"/>
      <c r="D39" s="31"/>
      <c r="E39" s="23">
        <v>20</v>
      </c>
      <c r="F39" s="188">
        <f>SUM(F29:F38)</f>
        <v>0</v>
      </c>
      <c r="G39" s="95">
        <f aca="true" t="shared" si="6" ref="G39:L39">SUM(G28:G38)</f>
        <v>0</v>
      </c>
      <c r="H39" s="6">
        <f t="shared" si="6"/>
        <v>0</v>
      </c>
      <c r="I39" s="6">
        <f t="shared" si="6"/>
        <v>0</v>
      </c>
      <c r="J39" s="6">
        <f t="shared" si="6"/>
        <v>0</v>
      </c>
      <c r="K39" s="6">
        <f t="shared" si="6"/>
        <v>0</v>
      </c>
      <c r="L39" s="6">
        <f t="shared" si="6"/>
        <v>0</v>
      </c>
      <c r="M39" s="164">
        <f>SUM(M29:M38)</f>
        <v>0</v>
      </c>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f>[1]!CIP1072P435F2700PPL</f>
        <v>0</v>
      </c>
      <c r="G42" s="185"/>
      <c r="H42" s="106"/>
      <c r="I42" s="106"/>
      <c r="J42" s="106"/>
      <c r="K42" s="106"/>
      <c r="L42" s="168"/>
      <c r="M42" s="106">
        <f>[1]!CIP1072P435F2700</f>
        <v>0</v>
      </c>
      <c r="N42" s="108">
        <f>SUM(H40:L42)</f>
        <v>0</v>
      </c>
      <c r="O42" s="183"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1"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fitToHeight="1" fitToWidth="1" horizontalDpi="600" verticalDpi="600" orientation="landscape" scale="76"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workbookViewId="0" topLeftCell="A1">
      <selection activeCell="A1" sqref="A1:J1"/>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71" t="s">
        <v>291</v>
      </c>
      <c r="B1" s="371"/>
      <c r="C1" s="371"/>
      <c r="D1" s="371"/>
      <c r="E1" s="371"/>
      <c r="F1" s="371"/>
      <c r="G1" s="371"/>
      <c r="H1" s="371"/>
      <c r="I1" s="371"/>
      <c r="J1" s="371"/>
      <c r="K1" s="197" t="s">
        <v>194</v>
      </c>
      <c r="L1" s="198" t="str">
        <f>[0]!CTD</f>
        <v>108507000</v>
      </c>
    </row>
    <row r="2" ht="3.75" customHeight="1"/>
    <row r="3" spans="1:13" ht="12" customHeight="1">
      <c r="A3" s="216" t="s">
        <v>215</v>
      </c>
      <c r="B3" s="217"/>
      <c r="C3" s="217"/>
      <c r="D3" s="381" t="s">
        <v>62</v>
      </c>
      <c r="E3" s="382"/>
      <c r="F3" s="210" t="s">
        <v>64</v>
      </c>
      <c r="H3" s="372" t="str">
        <f>"The budget of "&amp;IF(Cover!$D$3=0,Cover!$D$1,Cover!$D$1&amp;" (d.b.a. "&amp;Cover!$D$3&amp;")")&amp;" for fiscal year 2018 was officially proposed by the Governing Board on "&amp;TEXT(Cover!$F$20,"mmmm dd, yyyy")&amp;". The complete budget may be reviewed by contacting "&amp;Cover!$O$25&amp;" at "&amp;Cover!$M$26&amp;" or "&amp;Cover!$P$26&amp;"."</f>
        <v>The budget of Pima Prevention Partnership  (d.b.a. ACHS) for fiscal year 2018 was officially proposed by the Governing Board on June 21, 2017. The complete budget may be reviewed by contacting Edith Garcia at 520-791-2711 or egarciamacklin@thepartnership.us.</v>
      </c>
      <c r="I3" s="373"/>
      <c r="J3" s="373"/>
      <c r="K3" s="373"/>
      <c r="L3" s="373"/>
      <c r="M3" s="374"/>
    </row>
    <row r="4" spans="1:13" ht="12" customHeight="1">
      <c r="A4" s="218"/>
      <c r="D4" s="210" t="s">
        <v>251</v>
      </c>
      <c r="E4" s="210" t="s">
        <v>56</v>
      </c>
      <c r="F4" s="219" t="s">
        <v>65</v>
      </c>
      <c r="H4" s="375"/>
      <c r="I4" s="376"/>
      <c r="J4" s="376"/>
      <c r="K4" s="376"/>
      <c r="L4" s="376"/>
      <c r="M4" s="377"/>
    </row>
    <row r="5" spans="1:13" ht="12" customHeight="1">
      <c r="A5" s="218" t="s">
        <v>22</v>
      </c>
      <c r="D5" s="199">
        <v>2017</v>
      </c>
      <c r="E5" s="199">
        <v>2018</v>
      </c>
      <c r="F5" s="220" t="s">
        <v>66</v>
      </c>
      <c r="H5" s="375"/>
      <c r="I5" s="376"/>
      <c r="J5" s="376"/>
      <c r="K5" s="376"/>
      <c r="L5" s="376"/>
      <c r="M5" s="377"/>
    </row>
    <row r="6" spans="1:13" ht="12" customHeight="1">
      <c r="A6" s="218"/>
      <c r="B6" s="196" t="s">
        <v>23</v>
      </c>
      <c r="D6" s="201">
        <f>SP1000P100F1000CY</f>
        <v>257733</v>
      </c>
      <c r="E6" s="201">
        <f>SP1000P100F1000</f>
        <v>350095</v>
      </c>
      <c r="F6" s="221">
        <f>IF(D6=0," ",(E6-D6)/D6)</f>
        <v>0.358</v>
      </c>
      <c r="H6" s="375"/>
      <c r="I6" s="376"/>
      <c r="J6" s="376"/>
      <c r="K6" s="376"/>
      <c r="L6" s="376"/>
      <c r="M6" s="377"/>
    </row>
    <row r="7" spans="1:13" ht="12" customHeight="1">
      <c r="A7" s="218"/>
      <c r="B7" s="196" t="s">
        <v>24</v>
      </c>
      <c r="D7" s="202"/>
      <c r="E7" s="239"/>
      <c r="F7" s="240"/>
      <c r="H7" s="378"/>
      <c r="I7" s="379"/>
      <c r="J7" s="379"/>
      <c r="K7" s="379"/>
      <c r="L7" s="379"/>
      <c r="M7" s="380"/>
    </row>
    <row r="8" spans="1:11" ht="12" customHeight="1">
      <c r="A8" s="218"/>
      <c r="C8" s="196" t="s">
        <v>195</v>
      </c>
      <c r="D8" s="203">
        <f>SP1000P100F2100CY</f>
        <v>193474</v>
      </c>
      <c r="E8" s="238">
        <f>SP1000P100F2100</f>
        <v>160088</v>
      </c>
      <c r="F8" s="222">
        <f>IF(D8=0," ",(E8-D8)/D8)</f>
        <v>-0.173</v>
      </c>
      <c r="H8" s="214"/>
      <c r="I8" s="214"/>
      <c r="J8" s="214"/>
      <c r="K8" s="214"/>
    </row>
    <row r="9" spans="1:13" ht="12" customHeight="1">
      <c r="A9" s="218"/>
      <c r="C9" s="196" t="s">
        <v>196</v>
      </c>
      <c r="D9" s="200">
        <f>SP1000P100F2200CY</f>
        <v>31241</v>
      </c>
      <c r="E9" s="200">
        <f>SP1000P100F2200</f>
        <v>55445</v>
      </c>
      <c r="F9" s="225">
        <f>IF(D9=0," ",(E9-D9)/D9)</f>
        <v>0.775</v>
      </c>
      <c r="H9" s="227"/>
      <c r="I9" s="217"/>
      <c r="J9" s="228"/>
      <c r="K9" s="383" t="s">
        <v>62</v>
      </c>
      <c r="L9" s="384"/>
      <c r="M9" s="210" t="s">
        <v>64</v>
      </c>
    </row>
    <row r="10" spans="1:13" ht="12" customHeight="1">
      <c r="A10" s="218"/>
      <c r="C10" s="196" t="s">
        <v>197</v>
      </c>
      <c r="D10" s="200">
        <f>SP1000P100F2300CY</f>
        <v>10983</v>
      </c>
      <c r="E10" s="200">
        <f>SP1000P100F2300</f>
        <v>10983</v>
      </c>
      <c r="F10" s="221">
        <f aca="true" t="shared" si="0" ref="F10:F21">IF(D10=0," ",(E10-D10)/D10)</f>
        <v>0</v>
      </c>
      <c r="H10" s="229" t="s">
        <v>209</v>
      </c>
      <c r="I10" s="233"/>
      <c r="J10" s="234"/>
      <c r="K10" s="210" t="s">
        <v>251</v>
      </c>
      <c r="L10" s="210" t="s">
        <v>56</v>
      </c>
      <c r="M10" s="219" t="s">
        <v>65</v>
      </c>
    </row>
    <row r="11" spans="1:13" ht="12" customHeight="1">
      <c r="A11" s="218"/>
      <c r="C11" s="196" t="s">
        <v>198</v>
      </c>
      <c r="D11" s="200">
        <f>SP1000P100F2400CY</f>
        <v>233925</v>
      </c>
      <c r="E11" s="200">
        <f>SP1000P100F2400</f>
        <v>183131</v>
      </c>
      <c r="F11" s="221">
        <f t="shared" si="0"/>
        <v>-0.217</v>
      </c>
      <c r="H11" s="230"/>
      <c r="I11" s="235"/>
      <c r="J11" s="204"/>
      <c r="K11" s="199">
        <v>2017</v>
      </c>
      <c r="L11" s="199">
        <v>2018</v>
      </c>
      <c r="M11" s="220" t="s">
        <v>66</v>
      </c>
    </row>
    <row r="12" spans="1:13" ht="12" customHeight="1">
      <c r="A12" s="218"/>
      <c r="C12" s="196" t="s">
        <v>199</v>
      </c>
      <c r="D12" s="200">
        <f>SP1000P100F2500CY</f>
        <v>36000</v>
      </c>
      <c r="E12" s="200">
        <f>SP1000P100F2500</f>
        <v>48750</v>
      </c>
      <c r="F12" s="221">
        <f t="shared" si="0"/>
        <v>0.354</v>
      </c>
      <c r="H12" s="231" t="s">
        <v>271</v>
      </c>
      <c r="I12" s="197"/>
      <c r="J12" s="234"/>
      <c r="K12" s="201">
        <f>'Page 2'!M5</f>
        <v>112827</v>
      </c>
      <c r="L12" s="201">
        <f>'Page 2'!N5</f>
        <v>112828</v>
      </c>
      <c r="M12" s="221">
        <f aca="true" t="shared" si="1" ref="M12:M19">IF(K12=0," ",(L12-K12)/K12)</f>
        <v>0</v>
      </c>
    </row>
    <row r="13" spans="1:13" ht="12" customHeight="1">
      <c r="A13" s="218"/>
      <c r="C13" s="196" t="s">
        <v>200</v>
      </c>
      <c r="D13" s="200">
        <f>SP1000P100F2600CY</f>
        <v>293811</v>
      </c>
      <c r="E13" s="200">
        <f>SP1000P100F2600</f>
        <v>271872</v>
      </c>
      <c r="F13" s="221">
        <f t="shared" si="0"/>
        <v>-0.075</v>
      </c>
      <c r="H13" s="231" t="s">
        <v>34</v>
      </c>
      <c r="I13" s="197"/>
      <c r="J13" s="234"/>
      <c r="K13" s="201">
        <f>P200GiftedEducationCY</f>
        <v>0</v>
      </c>
      <c r="L13" s="200">
        <f>P200GiftedEducation</f>
        <v>0</v>
      </c>
      <c r="M13" s="221" t="str">
        <f t="shared" si="1"/>
        <v> </v>
      </c>
    </row>
    <row r="14" spans="1:13" ht="12" customHeight="1">
      <c r="A14" s="218"/>
      <c r="C14" s="196" t="s">
        <v>201</v>
      </c>
      <c r="D14" s="200">
        <f>SP1000P100F2900CY</f>
        <v>0</v>
      </c>
      <c r="E14" s="200">
        <f>SP1000P100F2900</f>
        <v>0</v>
      </c>
      <c r="F14" s="221" t="str">
        <f t="shared" si="0"/>
        <v> </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61500</v>
      </c>
      <c r="E15" s="200">
        <f>SP1000P100F3000</f>
        <v>71591</v>
      </c>
      <c r="F15" s="221">
        <f t="shared" si="0"/>
        <v>0.164</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0</v>
      </c>
      <c r="E16" s="200">
        <f>SP1000P100F4000</f>
        <v>0</v>
      </c>
      <c r="F16" s="221" t="str">
        <f t="shared" si="0"/>
        <v> </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0</v>
      </c>
      <c r="E17" s="200">
        <f>SP1000P100F5000</f>
        <v>0</v>
      </c>
      <c r="F17" s="221" t="str">
        <f t="shared" si="0"/>
        <v> </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0</v>
      </c>
      <c r="E18" s="200">
        <f>SP1000P610</f>
        <v>0</v>
      </c>
      <c r="F18" s="221" t="str">
        <f t="shared" si="0"/>
        <v> </v>
      </c>
      <c r="H18" s="231" t="s">
        <v>36</v>
      </c>
      <c r="I18" s="197"/>
      <c r="J18" s="234"/>
      <c r="K18" s="213">
        <f>P200CareerEducationCY</f>
        <v>0</v>
      </c>
      <c r="L18" s="213">
        <f>P200CareerEducation</f>
        <v>0</v>
      </c>
      <c r="M18" s="221" t="str">
        <f t="shared" si="1"/>
        <v> </v>
      </c>
    </row>
    <row r="19" spans="1:13" ht="12" customHeight="1">
      <c r="A19" s="218" t="s">
        <v>79</v>
      </c>
      <c r="D19" s="200">
        <f>SP1000P620CY</f>
        <v>0</v>
      </c>
      <c r="E19" s="200">
        <f>SP1000P620</f>
        <v>0</v>
      </c>
      <c r="F19" s="221" t="str">
        <f t="shared" si="0"/>
        <v> </v>
      </c>
      <c r="H19" s="385" t="s">
        <v>206</v>
      </c>
      <c r="I19" s="386"/>
      <c r="J19" s="386"/>
      <c r="K19" s="200">
        <f>SUM(K12:K18)</f>
        <v>112827</v>
      </c>
      <c r="L19" s="200">
        <f>SUM(L12:L18)</f>
        <v>112828</v>
      </c>
      <c r="M19" s="224">
        <f t="shared" si="1"/>
        <v>0</v>
      </c>
    </row>
    <row r="20" spans="1:13" ht="12" customHeight="1">
      <c r="A20" s="218" t="s">
        <v>78</v>
      </c>
      <c r="D20" s="200">
        <f>SP1000P630700800900CY</f>
        <v>15000</v>
      </c>
      <c r="E20" s="200">
        <f>SP1000P630700800900</f>
        <v>15000</v>
      </c>
      <c r="F20" s="221">
        <f t="shared" si="0"/>
        <v>0</v>
      </c>
      <c r="H20" s="197"/>
      <c r="I20" s="197"/>
      <c r="K20" s="280"/>
      <c r="L20" s="280"/>
      <c r="M20" s="281"/>
    </row>
    <row r="21" spans="1:13" ht="12" customHeight="1">
      <c r="A21" s="223"/>
      <c r="B21" s="198" t="s">
        <v>202</v>
      </c>
      <c r="C21" s="204"/>
      <c r="D21" s="200">
        <f>SUM(D6:D20)</f>
        <v>1133667</v>
      </c>
      <c r="E21" s="200">
        <f>SUM(E6:E20)</f>
        <v>1166955</v>
      </c>
      <c r="F21" s="221">
        <f t="shared" si="0"/>
        <v>0.029</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39100</v>
      </c>
      <c r="E23" s="241">
        <f>SP1000P200F1000</f>
        <v>23000</v>
      </c>
      <c r="F23" s="222">
        <f>IF(D23=0," ",(E23-D23)/D23)</f>
        <v>-0.412</v>
      </c>
      <c r="H23" s="387" t="s">
        <v>214</v>
      </c>
      <c r="I23" s="388"/>
      <c r="J23" s="388"/>
      <c r="K23" s="388"/>
      <c r="L23" s="389"/>
      <c r="M23" s="281"/>
    </row>
    <row r="24" spans="1:13" ht="12" customHeight="1">
      <c r="A24" s="218"/>
      <c r="B24" s="196" t="s">
        <v>24</v>
      </c>
      <c r="D24" s="206"/>
      <c r="E24" s="206"/>
      <c r="F24" s="225"/>
      <c r="H24" s="218"/>
      <c r="J24" s="369" t="s">
        <v>62</v>
      </c>
      <c r="K24" s="370"/>
      <c r="L24" s="219" t="s">
        <v>64</v>
      </c>
      <c r="M24" s="281"/>
    </row>
    <row r="25" spans="1:13" ht="12" customHeight="1">
      <c r="A25" s="218"/>
      <c r="C25" s="196" t="s">
        <v>195</v>
      </c>
      <c r="D25" s="201">
        <f>SP1000P200F2100CY</f>
        <v>33509</v>
      </c>
      <c r="E25" s="201">
        <f>SP1000P200F2100</f>
        <v>44183</v>
      </c>
      <c r="F25" s="222">
        <f aca="true" t="shared" si="2" ref="F25:F41">IF(D25=0," ",(E25-D25)/D25)</f>
        <v>0.319</v>
      </c>
      <c r="H25" s="218"/>
      <c r="J25" s="211" t="s">
        <v>251</v>
      </c>
      <c r="K25" s="211" t="s">
        <v>56</v>
      </c>
      <c r="L25" s="219" t="s">
        <v>65</v>
      </c>
      <c r="M25" s="281"/>
    </row>
    <row r="26" spans="1:13" ht="12" customHeight="1">
      <c r="A26" s="218"/>
      <c r="C26" s="196" t="s">
        <v>196</v>
      </c>
      <c r="D26" s="201">
        <f>SP1000P200F2200CY</f>
        <v>40218</v>
      </c>
      <c r="E26" s="201">
        <f>SP1000P200F2200</f>
        <v>0</v>
      </c>
      <c r="F26" s="225">
        <f t="shared" si="2"/>
        <v>-1</v>
      </c>
      <c r="H26" s="232"/>
      <c r="J26" s="199">
        <v>2017</v>
      </c>
      <c r="K26" s="199">
        <v>2018</v>
      </c>
      <c r="L26" s="220" t="s">
        <v>66</v>
      </c>
      <c r="M26" s="281"/>
    </row>
    <row r="27" spans="1:13" ht="12" customHeight="1">
      <c r="A27" s="218"/>
      <c r="C27" s="196" t="s">
        <v>197</v>
      </c>
      <c r="D27" s="201">
        <f>SP1000P200F2300CY</f>
        <v>0</v>
      </c>
      <c r="E27" s="201">
        <f>SP1000P200F2300</f>
        <v>0</v>
      </c>
      <c r="F27" s="221" t="str">
        <f t="shared" si="2"/>
        <v> </v>
      </c>
      <c r="H27" s="226" t="s">
        <v>210</v>
      </c>
      <c r="I27" s="207"/>
      <c r="J27" s="201">
        <f>SP1000TotalCY</f>
        <v>1301258</v>
      </c>
      <c r="K27" s="201">
        <f>SP1000Total</f>
        <v>1288783</v>
      </c>
      <c r="L27" s="224">
        <f>IF(J27=0," ",(K27-J27)/J27)</f>
        <v>-0.01</v>
      </c>
      <c r="M27" s="281"/>
    </row>
    <row r="28" spans="1:13" ht="12" customHeight="1">
      <c r="A28" s="218"/>
      <c r="C28" s="196" t="s">
        <v>198</v>
      </c>
      <c r="D28" s="201">
        <f>SP1000P200F2400CY</f>
        <v>0</v>
      </c>
      <c r="E28" s="201">
        <f>SP1000P200F2400</f>
        <v>0</v>
      </c>
      <c r="F28" s="221" t="str">
        <f t="shared" si="2"/>
        <v> </v>
      </c>
      <c r="H28" s="226" t="s">
        <v>207</v>
      </c>
      <c r="I28" s="207"/>
      <c r="J28" s="200">
        <f>SP1000ClassSiteProjCY</f>
        <v>149391</v>
      </c>
      <c r="K28" s="200">
        <f>SP1000ClassSiteProj</f>
        <v>58628</v>
      </c>
      <c r="L28" s="224">
        <f aca="true" t="shared" si="3" ref="L28:L35">IF(J28=0," ",(K28-J28)/J28)</f>
        <v>-0.608</v>
      </c>
      <c r="M28" s="281"/>
    </row>
    <row r="29" spans="1:13" ht="12" customHeight="1">
      <c r="A29" s="218"/>
      <c r="C29" s="196" t="s">
        <v>199</v>
      </c>
      <c r="D29" s="201">
        <f>SP1000P200F2500CY</f>
        <v>0</v>
      </c>
      <c r="E29" s="201">
        <f>SP1000P200F2500</f>
        <v>15000</v>
      </c>
      <c r="F29" s="221" t="str">
        <f t="shared" si="2"/>
        <v> </v>
      </c>
      <c r="H29" s="226" t="s">
        <v>217</v>
      </c>
      <c r="I29" s="207"/>
      <c r="J29" s="200">
        <f>SP1000InstrImpProjCY</f>
        <v>0</v>
      </c>
      <c r="K29" s="200">
        <f>SP1000InstrImpProj</f>
        <v>0</v>
      </c>
      <c r="L29" s="224" t="str">
        <f t="shared" si="3"/>
        <v> </v>
      </c>
      <c r="M29" s="281"/>
    </row>
    <row r="30" spans="1:13" ht="12" customHeight="1">
      <c r="A30" s="218"/>
      <c r="C30" s="196" t="s">
        <v>200</v>
      </c>
      <c r="D30" s="201">
        <f>SP1000P200F2600CY</f>
        <v>0</v>
      </c>
      <c r="E30" s="201">
        <f>SP1000P200F2600</f>
        <v>30645</v>
      </c>
      <c r="F30" s="221" t="str">
        <f t="shared" si="2"/>
        <v> </v>
      </c>
      <c r="H30" s="226" t="s">
        <v>216</v>
      </c>
      <c r="I30" s="207"/>
      <c r="J30" s="200">
        <f>SP1000StruEngImmProjCY</f>
        <v>0</v>
      </c>
      <c r="K30" s="200">
        <f>SP1000StruEngImmProj</f>
        <v>0</v>
      </c>
      <c r="L30" s="224" t="str">
        <f t="shared" si="3"/>
        <v> </v>
      </c>
      <c r="M30" s="281"/>
    </row>
    <row r="31" spans="1:13" ht="12" customHeight="1">
      <c r="A31" s="218"/>
      <c r="C31" s="196" t="s">
        <v>201</v>
      </c>
      <c r="D31" s="201">
        <f>SP1000P200F2900CY</f>
        <v>0</v>
      </c>
      <c r="E31" s="201">
        <f>SP1000P200F2900</f>
        <v>0</v>
      </c>
      <c r="F31" s="221" t="str">
        <f t="shared" si="2"/>
        <v> </v>
      </c>
      <c r="H31" s="226" t="s">
        <v>148</v>
      </c>
      <c r="I31" s="207"/>
      <c r="J31" s="200">
        <f>SP1000CompInstrProjCY</f>
        <v>0</v>
      </c>
      <c r="K31" s="200">
        <f>SP1000CompInstrProj</f>
        <v>0</v>
      </c>
      <c r="L31" s="224" t="str">
        <f t="shared" si="3"/>
        <v> </v>
      </c>
      <c r="M31" s="281"/>
    </row>
    <row r="32" spans="1:13" ht="12" customHeight="1">
      <c r="A32" s="218"/>
      <c r="B32" s="196" t="s">
        <v>27</v>
      </c>
      <c r="D32" s="201">
        <f>SP1000P200F3000CY</f>
        <v>0</v>
      </c>
      <c r="E32" s="201">
        <f>SP1000P200F3000</f>
        <v>0</v>
      </c>
      <c r="F32" s="221" t="str">
        <f t="shared" si="2"/>
        <v> </v>
      </c>
      <c r="H32" s="226" t="s">
        <v>211</v>
      </c>
      <c r="I32" s="207"/>
      <c r="J32" s="200">
        <f>TotalFederalProjectsCY</f>
        <v>409975</v>
      </c>
      <c r="K32" s="200">
        <f>TotalFederalProjects</f>
        <v>367044</v>
      </c>
      <c r="L32" s="224">
        <f t="shared" si="3"/>
        <v>-0.105</v>
      </c>
      <c r="M32" s="281"/>
    </row>
    <row r="33" spans="1:12" ht="12" customHeight="1">
      <c r="A33" s="218"/>
      <c r="B33" s="196" t="s">
        <v>152</v>
      </c>
      <c r="D33" s="201">
        <f>SP1000P200F4000CY</f>
        <v>0</v>
      </c>
      <c r="E33" s="201">
        <f>SP1000P200F4000</f>
        <v>0</v>
      </c>
      <c r="F33" s="221" t="str">
        <f t="shared" si="2"/>
        <v> </v>
      </c>
      <c r="H33" s="226" t="s">
        <v>212</v>
      </c>
      <c r="I33" s="207"/>
      <c r="J33" s="200">
        <f>TotalStateProjectsCY</f>
        <v>0</v>
      </c>
      <c r="K33" s="200">
        <f>TotalStateProjects</f>
        <v>0</v>
      </c>
      <c r="L33" s="224" t="str">
        <f t="shared" si="3"/>
        <v> </v>
      </c>
    </row>
    <row r="34" spans="1:12" ht="12" customHeight="1">
      <c r="A34" s="218"/>
      <c r="B34" s="196" t="s">
        <v>28</v>
      </c>
      <c r="D34" s="201">
        <f>SP1000P200F5000CY</f>
        <v>0</v>
      </c>
      <c r="E34" s="201">
        <f>SP1000P200F5000</f>
        <v>0</v>
      </c>
      <c r="F34" s="221" t="str">
        <f t="shared" si="2"/>
        <v> </v>
      </c>
      <c r="H34" s="226" t="s">
        <v>213</v>
      </c>
      <c r="I34" s="207"/>
      <c r="J34" s="200">
        <f>TotalCapitalAcquisitionsCY</f>
        <v>0</v>
      </c>
      <c r="K34" s="200">
        <f>TotalCapitalAcquisitions</f>
        <v>0</v>
      </c>
      <c r="L34" s="224" t="str">
        <f t="shared" si="3"/>
        <v> </v>
      </c>
    </row>
    <row r="35" spans="1:13" ht="12" customHeight="1">
      <c r="A35" s="218"/>
      <c r="B35" s="196" t="s">
        <v>203</v>
      </c>
      <c r="C35" s="234"/>
      <c r="D35" s="213">
        <f>SUM(D23:D34)</f>
        <v>112827</v>
      </c>
      <c r="E35" s="213">
        <f>SUM(E23:E34)</f>
        <v>112828</v>
      </c>
      <c r="F35" s="221">
        <f t="shared" si="2"/>
        <v>0</v>
      </c>
      <c r="H35" s="226" t="s">
        <v>208</v>
      </c>
      <c r="I35" s="207"/>
      <c r="J35" s="200">
        <f>SUM(J27:J34)</f>
        <v>1860624</v>
      </c>
      <c r="K35" s="200">
        <f>SUM(K27:K34)</f>
        <v>1714455</v>
      </c>
      <c r="L35" s="224">
        <f t="shared" si="3"/>
        <v>-0.079</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54764</v>
      </c>
      <c r="E37" s="200">
        <f>SP1000P400</f>
        <v>9000</v>
      </c>
      <c r="F37" s="224">
        <f t="shared" si="2"/>
        <v>-0.836</v>
      </c>
      <c r="H37" s="296"/>
      <c r="J37" s="295"/>
      <c r="K37" s="295"/>
      <c r="L37" s="295"/>
    </row>
    <row r="38" spans="1:12" ht="12" customHeight="1">
      <c r="A38" s="226" t="s">
        <v>31</v>
      </c>
      <c r="B38" s="207"/>
      <c r="C38" s="208"/>
      <c r="D38" s="200">
        <f>SP1000P530CY</f>
        <v>0</v>
      </c>
      <c r="E38" s="200">
        <f>SP1000P530</f>
        <v>0</v>
      </c>
      <c r="F38" s="224" t="str">
        <f t="shared" si="2"/>
        <v> </v>
      </c>
      <c r="J38" s="280"/>
      <c r="K38" s="280"/>
      <c r="L38" s="281"/>
    </row>
    <row r="39" spans="1:12" ht="12" customHeight="1">
      <c r="A39" s="226" t="s">
        <v>205</v>
      </c>
      <c r="B39" s="207"/>
      <c r="C39" s="208"/>
      <c r="D39" s="200">
        <f>SP1000P540CY</f>
        <v>0</v>
      </c>
      <c r="E39" s="200">
        <f>SP1000P540</f>
        <v>0</v>
      </c>
      <c r="F39" s="224" t="str">
        <f t="shared" si="2"/>
        <v> </v>
      </c>
      <c r="J39" s="280"/>
      <c r="K39" s="280"/>
      <c r="L39" s="281"/>
    </row>
    <row r="40" spans="1:12" ht="12" customHeight="1">
      <c r="A40" s="223" t="s">
        <v>218</v>
      </c>
      <c r="B40" s="198"/>
      <c r="C40" s="204"/>
      <c r="D40" s="200">
        <f>SP1000P550CY</f>
        <v>0</v>
      </c>
      <c r="E40" s="200">
        <f>SP1000P550</f>
        <v>0</v>
      </c>
      <c r="F40" s="224" t="str">
        <f t="shared" si="2"/>
        <v> </v>
      </c>
      <c r="J40" s="280"/>
      <c r="K40" s="280"/>
      <c r="L40" s="281"/>
    </row>
    <row r="41" spans="1:12" ht="12" customHeight="1">
      <c r="A41" s="223"/>
      <c r="B41" s="198"/>
      <c r="C41" s="204" t="s">
        <v>206</v>
      </c>
      <c r="D41" s="201">
        <f>SUM(D35:D40)+D21</f>
        <v>1301258</v>
      </c>
      <c r="E41" s="201">
        <f>SUM(E35:E40)+E21</f>
        <v>1288783</v>
      </c>
      <c r="F41" s="224">
        <f t="shared" si="2"/>
        <v>-0.01</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sheet="1"/>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fitToHeight="1" fitToWidth="1" horizontalDpi="600" verticalDpi="600" orientation="landscape" scale="76"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dimension ref="A1:F35"/>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328</v>
      </c>
      <c r="C6" s="283" t="s">
        <v>335</v>
      </c>
    </row>
    <row r="7" spans="1:3" ht="59.25" customHeight="1">
      <c r="A7" s="263">
        <v>1</v>
      </c>
      <c r="B7" s="251" t="s">
        <v>226</v>
      </c>
      <c r="C7" s="283" t="s">
        <v>296</v>
      </c>
    </row>
    <row r="8" spans="1:3" ht="66" customHeight="1">
      <c r="A8" s="263">
        <v>1</v>
      </c>
      <c r="B8" s="251" t="s">
        <v>275</v>
      </c>
      <c r="C8" s="283" t="s">
        <v>276</v>
      </c>
    </row>
    <row r="9" spans="1:3" ht="60.75" customHeight="1">
      <c r="A9" s="263">
        <v>1</v>
      </c>
      <c r="B9" s="251" t="s">
        <v>240</v>
      </c>
      <c r="C9" s="283" t="s">
        <v>298</v>
      </c>
    </row>
    <row r="10" spans="1:3" ht="49.5" customHeight="1">
      <c r="A10" s="263">
        <v>1</v>
      </c>
      <c r="B10" s="251" t="s">
        <v>277</v>
      </c>
      <c r="C10" s="283" t="s">
        <v>278</v>
      </c>
    </row>
    <row r="11" spans="1:3" ht="62.25" customHeight="1">
      <c r="A11" s="263">
        <v>1</v>
      </c>
      <c r="B11" s="251" t="s">
        <v>239</v>
      </c>
      <c r="C11" s="283" t="s">
        <v>294</v>
      </c>
    </row>
    <row r="12" spans="1:3" ht="91.5" customHeight="1">
      <c r="A12" s="263">
        <v>2</v>
      </c>
      <c r="B12" s="251" t="s">
        <v>247</v>
      </c>
      <c r="C12" s="283" t="s">
        <v>299</v>
      </c>
    </row>
    <row r="13" spans="1:3" ht="76.5" customHeight="1">
      <c r="A13" s="263">
        <v>2</v>
      </c>
      <c r="B13" s="251" t="s">
        <v>302</v>
      </c>
      <c r="C13" s="283" t="s">
        <v>309</v>
      </c>
    </row>
    <row r="14" spans="1:3" ht="135" customHeight="1">
      <c r="A14" s="263">
        <v>2</v>
      </c>
      <c r="B14" s="251" t="s">
        <v>303</v>
      </c>
      <c r="C14" s="283" t="s">
        <v>319</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313</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320</v>
      </c>
      <c r="C23" s="283" t="s">
        <v>330</v>
      </c>
    </row>
    <row r="24" spans="1:3" ht="85.5" customHeight="1">
      <c r="A24" s="263">
        <v>2</v>
      </c>
      <c r="B24" s="251" t="s">
        <v>321</v>
      </c>
      <c r="C24" s="283" t="s">
        <v>337</v>
      </c>
    </row>
    <row r="25" spans="1:3" ht="45" customHeight="1">
      <c r="A25" s="263">
        <v>2</v>
      </c>
      <c r="B25" s="251" t="s">
        <v>322</v>
      </c>
      <c r="C25" s="283" t="s">
        <v>336</v>
      </c>
    </row>
    <row r="26" spans="1:3" ht="90.75" customHeight="1">
      <c r="A26" s="263">
        <v>2</v>
      </c>
      <c r="B26" s="251" t="s">
        <v>323</v>
      </c>
      <c r="C26" s="283" t="s">
        <v>338</v>
      </c>
    </row>
    <row r="27" spans="1:3" ht="99" customHeight="1">
      <c r="A27" s="263">
        <v>2</v>
      </c>
      <c r="B27" s="251" t="s">
        <v>324</v>
      </c>
      <c r="C27" s="283" t="s">
        <v>339</v>
      </c>
    </row>
    <row r="28" spans="1:3" ht="111" customHeight="1">
      <c r="A28" s="263">
        <v>2</v>
      </c>
      <c r="B28" s="251" t="s">
        <v>325</v>
      </c>
      <c r="C28" s="283" t="s">
        <v>317</v>
      </c>
    </row>
    <row r="29" spans="1:3" ht="49.5" customHeight="1">
      <c r="A29" s="263">
        <v>2</v>
      </c>
      <c r="B29" s="251" t="s">
        <v>326</v>
      </c>
      <c r="C29" s="283" t="s">
        <v>304</v>
      </c>
    </row>
    <row r="30" spans="1:3" ht="49.5" customHeight="1">
      <c r="A30" s="263">
        <v>2</v>
      </c>
      <c r="B30" s="251" t="s">
        <v>327</v>
      </c>
      <c r="C30" s="283" t="s">
        <v>310</v>
      </c>
    </row>
    <row r="31" spans="1:3" ht="65.25" customHeight="1">
      <c r="A31" s="263">
        <v>3</v>
      </c>
      <c r="B31" s="251" t="s">
        <v>235</v>
      </c>
      <c r="C31" s="283" t="s">
        <v>312</v>
      </c>
    </row>
    <row r="32" spans="1:3" ht="63.75" customHeight="1">
      <c r="A32" s="263">
        <v>4</v>
      </c>
      <c r="B32" s="251" t="s">
        <v>233</v>
      </c>
      <c r="C32" s="283" t="s">
        <v>244</v>
      </c>
    </row>
    <row r="33" spans="1:3" ht="66" customHeight="1">
      <c r="A33" s="263">
        <v>4</v>
      </c>
      <c r="B33" s="251" t="s">
        <v>234</v>
      </c>
      <c r="C33" s="283" t="s">
        <v>243</v>
      </c>
    </row>
    <row r="34" spans="1:3" ht="26.2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horizontalDpi="600" verticalDpi="600" orientation="landscape"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Stephanie Gonzales</cp:lastModifiedBy>
  <cp:lastPrinted>2017-09-19T00:07:52Z</cp:lastPrinted>
  <dcterms:created xsi:type="dcterms:W3CDTF">1997-10-08T16:25:08Z</dcterms:created>
  <dcterms:modified xsi:type="dcterms:W3CDTF">2017-09-25T15:24:56Z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