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activeTab="9"/>
  </bookViews>
  <sheets>
    <sheet name="Cover Page" sheetId="1" r:id="rId1"/>
    <sheet name="Page 2" sheetId="2" r:id="rId2"/>
    <sheet name="Page 1"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 r:id="rId18"/>
  </externalReferences>
  <definedNames>
    <definedName name="_Order1" hidden="1">255</definedName>
    <definedName name="ActualTotalFederalAndStateProjects">'Page 9'!$J$39</definedName>
    <definedName name="ActualTotalInstImpExp">'Page 5'!$I$11</definedName>
    <definedName name="AdditionalTeacherSalaryLine1">'Instructions'!$C$33</definedName>
    <definedName name="AdditionalTeacherSalaryLine2">'Instructions'!$C$34</definedName>
    <definedName name="AdditionalTeacherSalaryLine3">'Instructions'!$C$35</definedName>
    <definedName name="AddlInstrImprProjEndBal">'Page 5'!$F$19</definedName>
    <definedName name="AllDisabilityClassifications">'Instructions'!$C$38</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'Instructions'!$C$48</definedName>
    <definedName name="CashBal">'Page 7'!$F$6</definedName>
    <definedName name="ChartofAccounts">'Instructions'!#REF!</definedName>
    <definedName name="CIP1072EndBal">'Page 6'!$O$48</definedName>
    <definedName name="County">'[4]Cover'!$J$1</definedName>
    <definedName name="CoverDistrictName">'[4]Cover'!$D$1</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entExpensesbyCategoryLines7and8">'Instructions'!$C$25</definedName>
    <definedName name="CurrLiabilities">'Page 7'!#REF!</definedName>
    <definedName name="DebtService">'Instructions'!$C$47</definedName>
    <definedName name="ExpensesPage2">'Instructions'!$C$12</definedName>
    <definedName name="FederalAndStateProjectsPage2">'Instructions'!$C$13</definedName>
    <definedName name="FederalAndStateProjectsPage9">'Instructions'!$C$40</definedName>
    <definedName name="FederalAndStateProjectsPage9Line30">'Instructions'!$C$42</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'Instructions'!$C$26</definedName>
    <definedName name="GeneralInstructions">'Instructions'!$C$2</definedName>
    <definedName name="GeneralPage1">'Instructions'!$C$8</definedName>
    <definedName name="GeneralPage10">'Instructions'!$C$43</definedName>
    <definedName name="ImpactAidandOtherFederalProjects">'Instructions'!$C$41</definedName>
    <definedName name="InvestmentInCapitalAssets">'Instructions'!$C$17</definedName>
    <definedName name="InvestmentInCapitalAssetsLine5">'Instructions'!$C$18</definedName>
    <definedName name="LongandShortTermDebt">'Instructions'!$C$49</definedName>
    <definedName name="NameCountyCTDSNumber">'Instructions'!$C$7</definedName>
    <definedName name="_xlnm.Print_Area" localSheetId="0">'Cover Page'!$A$1:$R$35</definedName>
    <definedName name="_xlnm.Print_Area" localSheetId="11">'Instructions'!$A$1:$C$51</definedName>
    <definedName name="_xlnm.Print_Area" localSheetId="2">'Page 1'!$A$1:$N$35</definedName>
    <definedName name="_xlnm.Print_Area" localSheetId="10">'Page 10'!$A$1:$L$50</definedName>
    <definedName name="_xlnm.Print_Area" localSheetId="1">'Page 2'!$A$1:$M$47</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_xlnm.Print_Area" localSheetId="9">'Page 9'!$A$1:$M$39</definedName>
    <definedName name="Program_200_Budget_and_Program_200_Actual_column_totals_should_equal_line_27_on_page_2.">'Instructions'!$C$39</definedName>
    <definedName name="Program200Total">'Instructions'!#REF!</definedName>
    <definedName name="Programs610620630">'Instructions'!$C$44</definedName>
    <definedName name="PropertyDisbursements">'Instructions'!$C$45</definedName>
    <definedName name="PropertyDisbursementsByType">'Instructions'!$C$46</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'Instructions'!$C$37</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9'!$L$34</definedName>
    <definedName name="StP1465EndBal">'Page 9'!$L$35</definedName>
    <definedName name="StP14701499EndBal">'Page 9'!$L$36</definedName>
    <definedName name="StudentSuccessProject">'Instructions'!#REF!</definedName>
    <definedName name="TeacherSalaries">'Instructions'!$C$27</definedName>
    <definedName name="TeacherSalariesLine1">'Instructions'!$C$28</definedName>
    <definedName name="TeacherSalariesLine2">'Instructions'!$C$29</definedName>
    <definedName name="TeacherSalariesLine3">'Instructions'!$C$30</definedName>
    <definedName name="TeacherSalariesLine4">'Instructions'!$C$31</definedName>
    <definedName name="TeacherSalariesLine5">'Instructions'!$C$32</definedName>
    <definedName name="TechnologyDetail">'Instructions'!$C$51</definedName>
    <definedName name="TotalActualGiftedExpenses">'Instructions'!$C$36</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'Instructions'!$C$50</definedName>
  </definedNames>
  <calcPr fullCalcOnLoad="1" fullPrecision="0"/>
</workbook>
</file>

<file path=xl/sharedStrings.xml><?xml version="1.0" encoding="utf-8"?>
<sst xmlns="http://schemas.openxmlformats.org/spreadsheetml/2006/main" count="983" uniqueCount="525">
  <si>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</si>
  <si>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</si>
  <si>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</si>
  <si>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</si>
  <si>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</si>
  <si>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</si>
  <si>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</si>
  <si>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</si>
  <si>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</si>
  <si>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</si>
  <si>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</si>
  <si>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</si>
  <si>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</si>
  <si>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</si>
  <si>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</si>
  <si>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</si>
  <si>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</si>
  <si>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</si>
  <si>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</si>
  <si>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</si>
  <si>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</si>
  <si>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</si>
  <si>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</si>
  <si>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</si>
  <si>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</si>
  <si>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</si>
  <si>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</si>
  <si>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</si>
  <si>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</si>
  <si>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</si>
  <si>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</si>
  <si>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</si>
  <si>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</si>
  <si>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</si>
  <si>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</si>
  <si>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</si>
  <si>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</si>
  <si>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</si>
  <si>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</si>
  <si>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</si>
  <si>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</si>
  <si>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</si>
  <si>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</si>
  <si>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</si>
  <si>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</si>
  <si>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</si>
  <si>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</si>
  <si>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</si>
  <si>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</si>
  <si>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</si>
  <si>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</si>
  <si>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</si>
  <si>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</si>
  <si>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</si>
  <si>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</si>
  <si>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</si>
  <si>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</si>
  <si>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</si>
  <si>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</si>
  <si>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</si>
  <si>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</si>
  <si>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</si>
  <si>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</si>
  <si>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</si>
  <si>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</si>
  <si>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</si>
  <si>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</si>
  <si>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</si>
  <si>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</si>
  <si>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</si>
  <si>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</si>
  <si>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</si>
  <si>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</si>
  <si>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</si>
  <si>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</si>
  <si>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</si>
  <si>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</si>
  <si>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</si>
  <si>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</si>
  <si>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</si>
  <si>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</si>
  <si>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</si>
  <si>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</si>
  <si>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</si>
  <si>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</si>
  <si>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</si>
  <si>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</si>
  <si>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</si>
  <si>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</si>
  <si>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</si>
  <si>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</si>
  <si>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</si>
  <si>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</si>
  <si>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</si>
  <si>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</si>
  <si>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</si>
  <si>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</si>
  <si>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</si>
  <si>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</si>
  <si>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</si>
  <si>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</si>
  <si>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</si>
  <si>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</si>
  <si>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</si>
  <si>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</si>
  <si>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</si>
  <si>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</si>
  <si>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</si>
  <si>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</si>
  <si>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</si>
  <si>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</si>
  <si>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</si>
  <si>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</si>
  <si>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</si>
  <si>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</si>
  <si>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</si>
  <si>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</si>
  <si>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</si>
  <si>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</si>
  <si>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</si>
  <si>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</si>
  <si>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</si>
  <si>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</si>
  <si>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</si>
  <si>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</si>
  <si>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</si>
  <si>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</si>
  <si>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</si>
  <si>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</si>
  <si>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</si>
  <si>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</si>
  <si>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</si>
  <si>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</si>
  <si>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</si>
  <si>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</si>
  <si>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</si>
  <si>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</si>
  <si>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</si>
  <si>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</si>
  <si>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</si>
  <si>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</si>
  <si>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</si>
  <si>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</si>
  <si>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</si>
  <si>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</si>
  <si>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</si>
  <si>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</si>
  <si>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</si>
  <si>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</si>
  <si>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</si>
  <si>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</si>
  <si>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</si>
  <si>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</si>
  <si>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</si>
  <si>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</si>
  <si>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</si>
  <si>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</si>
  <si>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</si>
  <si>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</si>
  <si>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</si>
  <si>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</si>
  <si>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</si>
  <si>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</si>
  <si>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</si>
  <si>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</si>
  <si>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</si>
  <si>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</si>
  <si>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</si>
  <si>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</si>
  <si>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</si>
  <si>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</si>
  <si>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</si>
  <si>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</si>
  <si>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</si>
  <si>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</si>
  <si>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</si>
  <si>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</si>
  <si>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</si>
  <si>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</si>
  <si>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</si>
  <si>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</si>
  <si>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</si>
  <si>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</si>
  <si>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</si>
  <si>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</si>
  <si>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</si>
  <si>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</si>
  <si>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</si>
  <si>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</si>
  <si>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</si>
  <si>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</si>
  <si>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</si>
  <si>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</si>
  <si>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</si>
  <si>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</si>
  <si>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</si>
  <si>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</si>
  <si>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</si>
  <si>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</si>
  <si>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</si>
  <si>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</si>
  <si>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</si>
  <si>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</si>
  <si>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</si>
  <si>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</si>
  <si>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</si>
  <si>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</si>
  <si>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</si>
  <si>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</si>
  <si>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</si>
  <si>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</si>
  <si>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</si>
  <si>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</si>
  <si>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</si>
  <si>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</si>
  <si>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</si>
  <si>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</si>
  <si>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</si>
  <si>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</si>
  <si>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</si>
  <si>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</si>
  <si>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</si>
  <si>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</si>
  <si>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</si>
  <si>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</si>
  <si>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</si>
  <si>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</si>
  <si>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</si>
  <si>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</si>
  <si>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</si>
  <si>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</si>
  <si>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</si>
  <si>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</si>
  <si>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</si>
  <si>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</si>
  <si>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</si>
  <si>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</si>
  <si>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</si>
  <si>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</si>
  <si>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</si>
  <si>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</si>
  <si>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</si>
  <si>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</si>
  <si>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</si>
  <si>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</si>
  <si>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</si>
  <si>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</si>
  <si>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</si>
  <si>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</si>
  <si>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</si>
  <si>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</si>
  <si>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</si>
  <si>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</si>
  <si>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</si>
  <si>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</si>
  <si>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</si>
  <si>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</si>
  <si>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</si>
  <si>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</si>
  <si>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</si>
  <si>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</si>
  <si>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</si>
  <si>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</si>
  <si>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</si>
  <si>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</si>
  <si>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</si>
  <si>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</si>
  <si>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</si>
  <si>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</si>
  <si>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</si>
  <si>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</si>
  <si>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</si>
  <si>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</si>
  <si>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</si>
  <si>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</si>
  <si>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</si>
  <si>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</si>
  <si>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</si>
  <si>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</si>
  <si>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</si>
  <si>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</si>
  <si>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</si>
  <si>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</si>
  <si>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</si>
  <si>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</si>
  <si>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</si>
  <si>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</si>
  <si>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</si>
  <si>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</si>
  <si>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</si>
  <si>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</si>
  <si>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</si>
  <si>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</si>
  <si>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</si>
  <si>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</si>
  <si>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</si>
  <si>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</si>
  <si>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</si>
  <si>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</si>
  <si>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</si>
  <si>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</si>
  <si>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</si>
  <si>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</si>
  <si>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</si>
  <si>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</si>
  <si>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</si>
  <si>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</si>
  <si>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</si>
  <si>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</si>
  <si>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</si>
  <si>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</si>
  <si>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</si>
  <si>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</si>
  <si>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</si>
  <si>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</si>
  <si>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</si>
  <si>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</si>
  <si>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</si>
  <si>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</si>
  <si>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</si>
  <si>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</si>
  <si>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</si>
  <si>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</si>
  <si>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</si>
  <si>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</si>
  <si>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</si>
  <si>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</si>
  <si>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</si>
  <si>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</si>
  <si>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</si>
  <si>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</si>
  <si>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</si>
  <si>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</si>
  <si>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</si>
  <si>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</si>
  <si>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</si>
  <si>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</si>
  <si>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</si>
  <si>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</si>
  <si>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</si>
  <si>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</si>
  <si>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</si>
  <si>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</si>
  <si>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</si>
  <si>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</si>
  <si>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</si>
  <si>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</si>
  <si>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</si>
  <si>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</si>
  <si>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</si>
  <si>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</si>
  <si>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</si>
  <si>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</si>
  <si>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</si>
  <si>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</si>
  <si>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</si>
  <si>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</si>
  <si>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</si>
  <si>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</si>
  <si>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</si>
  <si>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</si>
  <si>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</si>
  <si>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</si>
  <si>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</si>
  <si>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</si>
  <si>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</si>
  <si>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</si>
  <si>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</si>
  <si>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</si>
  <si>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</si>
  <si>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</si>
  <si>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</si>
  <si>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</si>
  <si>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</si>
  <si>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</si>
  <si>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</si>
  <si>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</si>
  <si>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</si>
  <si>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</si>
  <si>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</si>
  <si>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</si>
  <si>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</si>
  <si>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</si>
  <si>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</si>
  <si>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</si>
  <si>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</si>
  <si>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</si>
  <si>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</si>
  <si>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</si>
  <si>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</si>
  <si>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</si>
  <si>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</si>
  <si>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</si>
  <si>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</si>
  <si>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</si>
  <si>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</si>
  <si>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</si>
  <si>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</si>
  <si>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</si>
  <si>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</si>
  <si>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</si>
  <si>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</si>
  <si>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</si>
  <si>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</si>
  <si>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</si>
  <si>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</si>
  <si>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</si>
  <si>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</si>
  <si>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</si>
  <si>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</si>
  <si>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</si>
  <si>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</si>
  <si>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</si>
  <si>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</si>
  <si>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</si>
  <si>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</si>
  <si>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</si>
  <si>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</si>
  <si>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</si>
  <si>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Technology Detail</t>
  </si>
  <si>
    <t>Utilities and Energy Services</t>
  </si>
  <si>
    <t>Long-term and Short-term Debt</t>
  </si>
  <si>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</si>
  <si>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</si>
  <si>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</si>
  <si>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</si>
  <si>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</si>
  <si>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</si>
  <si>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</si>
  <si>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</si>
  <si>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</si>
  <si>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</si>
  <si>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Enter Impact Aid amounts on Line 16 and all Other Federal Projects (less Impact Aid) on Line 17.</t>
  </si>
  <si>
    <t>Section C— Total All Disability Classifications</t>
  </si>
  <si>
    <t>Enter total expenses for the disability classifications defined in A.R.S. §15-761.</t>
  </si>
  <si>
    <t>1. Schoolwide (from page 2, line 32)</t>
  </si>
  <si>
    <t>2. Classroom Site Project (from page 2, line 33)</t>
  </si>
  <si>
    <t xml:space="preserve">     Subtotal (lines 15 and 27-31)</t>
  </si>
  <si>
    <t xml:space="preserve">     Total (lines 32-37)</t>
  </si>
  <si>
    <t>Total (lines 12 and 13)</t>
  </si>
  <si>
    <t>Total (lines 26 and 27)</t>
  </si>
  <si>
    <t>Total (lines 1-7)</t>
  </si>
  <si>
    <t>Total All Disability Classifications</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</si>
  <si>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</si>
  <si>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</si>
  <si>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</si>
  <si>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</si>
  <si>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</si>
  <si>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</si>
  <si>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</si>
  <si>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</si>
  <si>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</si>
  <si>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</si>
  <si>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</si>
  <si>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</si>
  <si>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</si>
  <si>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</si>
  <si>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</si>
  <si>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</si>
  <si>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</si>
  <si>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</si>
  <si>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</si>
  <si>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</si>
  <si>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</si>
  <si>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</si>
  <si>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</si>
  <si>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</si>
  <si>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</si>
  <si>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</si>
  <si>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</si>
  <si>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FY 2018</t>
  </si>
  <si>
    <t xml:space="preserve">The annual financial report file(s) for FY 2018 uploaded to the Arizona Department of </t>
  </si>
  <si>
    <t>INVESTMENT IN CAPITAL ASSETS AS OF JUNE 30, 2018</t>
  </si>
  <si>
    <t>1456 College Credit Exam Incentives</t>
  </si>
  <si>
    <t xml:space="preserve">     Total State Projects (lines 19-30)</t>
  </si>
  <si>
    <t xml:space="preserve">     Total Federal and State Projects (lines 18 and 31)</t>
  </si>
  <si>
    <t>Cash and Investments held at June 30, 2018</t>
  </si>
  <si>
    <t xml:space="preserve">     1. Long-term Debt Outstanding, July 1, 2017</t>
  </si>
  <si>
    <t xml:space="preserve">     2. Long-term Debt issued during FY 2018</t>
  </si>
  <si>
    <t xml:space="preserve">     3. Long-term Debt retired during FY 2018</t>
  </si>
  <si>
    <t xml:space="preserve">     4. Long-term Debt Outstanding, June 30, 2018</t>
  </si>
  <si>
    <t xml:space="preserve">     5. Short-term Debt Outstanding, July 1, 2017</t>
  </si>
  <si>
    <t xml:space="preserve">     6. Short-term Debt Outstanding, June 30, 2018</t>
  </si>
  <si>
    <t xml:space="preserve">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</si>
  <si>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32 of page 9.</t>
  </si>
  <si>
    <r>
      <t xml:space="preserve">Record amounts expended in FY 2018 for audit services. 
Non-federal audit expense incurred in FY 2018 may be included on the budget work sheets for FY 2020 for reimbursement pursuant to A.R.S. </t>
    </r>
    <r>
      <rPr>
        <sz val="10"/>
        <rFont val="Calibri"/>
        <family val="2"/>
      </rPr>
      <t>§</t>
    </r>
    <r>
      <rPr>
        <sz val="10"/>
        <rFont val="Times New Roman"/>
        <family val="1"/>
      </rPr>
      <t xml:space="preserve">15-914.  In order to receive reimbursement in FY 2020, non-federal audit expenses must be included in the FY 2018 AFR.  Amounts reported must be amounts actually spent in FY 2018.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</si>
  <si>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2018.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</si>
  <si>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2018.  This amount is not recorded on the capital assets list until the project is completed.  Therefore, it will not appear on the capital assets list as of June 30, 2018.
</t>
  </si>
  <si>
    <t>Enter the total cost, by asset classification, recorded in the general ledger and on the capital assets list as of June 30, 2018,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2018.</t>
  </si>
  <si>
    <t>Enter the total cost of construction in progress as of June 30, 2018.  This amount is not recorded on the capital assets list as of June 30, 2018.</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</si>
  <si>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 If FTE amounts were reported for certified, noncertified, or contract teachers in Section F, corresponding salary amounts should be reported in Section G.</t>
  </si>
  <si>
    <t>Federal and State Projects, Line 32</t>
  </si>
  <si>
    <t>The total budget and actual expenses on line 32 should agree with the total column for federal and state projects on line 37 of page 2.</t>
  </si>
  <si>
    <t xml:space="preserve">H. </t>
  </si>
  <si>
    <t>Federal and State Projects (from page 9, line 32)</t>
  </si>
  <si>
    <t>1457 Results-Based Funding</t>
  </si>
  <si>
    <t>8. Current Expenses from State and Local Projects, including those projects intended to replace local tax revenues (e.g., most Impact Aid Projects)</t>
  </si>
  <si>
    <t>7. Current Expenses from Federal Projects, excluding those projects intended to replace local tax revenues (e.g., most Impact Aid Projects)</t>
  </si>
  <si>
    <r>
      <t xml:space="preserve">FY 2018 ADDITIONAL TEACHER SALARY INCREASE (LAWS 2017, Ch. 305, </t>
    </r>
    <r>
      <rPr>
        <sz val="10"/>
        <rFont val="Calibri"/>
        <family val="2"/>
      </rPr>
      <t>§</t>
    </r>
    <r>
      <rPr>
        <sz val="10"/>
        <rFont val="Times New Roman"/>
        <family val="1"/>
      </rPr>
      <t>33)</t>
    </r>
  </si>
  <si>
    <t>Section H— 
FY 2018 Additional Teacher Salary Increase, Line 1</t>
  </si>
  <si>
    <t>Section H— 
FY 2018 Additional Teacher Salary Increase, Line 2</t>
  </si>
  <si>
    <t>Section H— 
FY 2018 Additional Teacher Salary Increase, Line 3</t>
  </si>
  <si>
    <t xml:space="preserve">Total FY 17 salary amount of eligible teachers that received 1.06% salary increase </t>
  </si>
  <si>
    <t>Funding received to pay eligible teachers for the 1.06% salary increase in FY 18</t>
  </si>
  <si>
    <t>Actual amount paid to eligible teachers for the 1.06% salary increase in FY 18</t>
  </si>
  <si>
    <t>All actual revenues, expenses, and account balances presented on the AFR must agree with the school’s accounting records as of June 30, 2018. Revenue and expense account codes used in the AFR agree with the Uniform System of Financial Records for Arizona Charter Schools (USFRCS) Chart of Accounts. Expense budget amounts should be taken from the school's most recently revised or adopted budget, which has been submitted to ADE, for FY 2018.            
Revenues must include cash receipts through June 30, 2018, and accrued revenues received after the end of the fiscal year. Examples of accrued revenues are cost reimbursement and entitlement programs, interest earned on investments, and FY 2018 classroom site project revenues.         
Expenses consist of all expenses incurred during the fiscal year, including expenses for goods and services received on or before June 30, 2018, but not paid for by that date. Examples of items requiring such treatment are included in the USFRCS, pages VI-G-8 and 9.</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</si>
  <si>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for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</si>
  <si>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We, the Governing Board of the Charter School, hereby certify the Annual Financial Report for Fiscal Year 2018</t>
  </si>
  <si>
    <t xml:space="preserve">Revenues received in the Classroom Site Project, Instructional Improvement Project, Structured English Immersion Project and Compensatory Instruction Project should be reported as Restricted. If you are not following the USFRCS Chart of Accounts, please report these Projects as 3200 Restricted for federal survey purposes. 
See the USFRCS Chart of Accounts for more information on Project, Function, and Object Codes and Descriptions. http://www.azauditor.gov/sites/default/files/USFRCS.pdf
</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</si>
  <si>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use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the USFRCS Chart of Accounts for more information on Project, Function, and Object Codes and Descriptions http://www.azauditor.gov/sites/default/files/USFRCS.pdf</t>
    </r>
  </si>
  <si>
    <t>An alert will appear on the cover page when commonly missed areas of the AFR are not completed. The alert will disappear as the related areas of the AFR are completed. Schools should complete all areas of the AFR that apply to their school operations, whether or not the item is listed in the alert. These alerts do not replace the need for a separate school employee to review the AFR for accuracy and completeness.</t>
  </si>
  <si>
    <t xml:space="preserve">Report the number of full-time equivalent (FTE) certified, noncertified, and contract teachers on lines 1-3, respectively. These amounts may include fractional FTE for part-time teachers. A teacher should only be reported on one line. If a teacher is both a certified and contract teacher, only report the applicable FTE on line 3. Do not include instructional aides or assistants. </t>
  </si>
  <si>
    <t>Enter the total amount of funding received from ADE to pay eligible teachers for the intended 1.06% salary increase in FY 2018.</t>
  </si>
  <si>
    <t>Enter the total amount paid to eligible teachers for the intended 1.06% salary increase in FY 2018.</t>
  </si>
  <si>
    <t>Enter the actual FY 2017 total salary amount, including base salaries, Classroom Site Project Performance Pay, overtime, and additional compensation, of all teachers that received payments for the intended 1.06% salary increase.</t>
  </si>
  <si>
    <t>Difference (line 2 minus line 3)</t>
  </si>
  <si>
    <t>Section E— 
Current Expenses by Source,  
Lines 7 and 8</t>
  </si>
  <si>
    <t>The Every Student Succeeds Act (ESSA) requires current expenses to be reported by source. Report the portion of current expenses from line 6 that were paid from federal projects, excluding current expenses paid from federal projects intended to replace local tax revenues (e.g., Impact Aid) on line 7. If no expenses were paid from federal projects, enter a 0 value on line 7. Line 8 contains a formula to calculate the current expenses from state and local projects.</t>
  </si>
  <si>
    <t>SCOTTSDALE COUNTRY DAY SCHOOL</t>
  </si>
  <si>
    <t xml:space="preserve">MARICOPA </t>
  </si>
  <si>
    <t>078243000</t>
  </si>
  <si>
    <t>Steve Prahcharov</t>
  </si>
  <si>
    <t>Claudina Douglas</t>
  </si>
  <si>
    <t>steve@scds.com</t>
  </si>
  <si>
    <t>cdouglas@adibiz.com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</si>
</sst>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2]\ #,##0.00_);[Red]\([$€-2]\ #,##0.00\)"/>
  </numFmts>
  <fonts count="63">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b/>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0">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6"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6"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6"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7"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8" fillId="40" borderId="24" xfId="53" applyFont="1" applyFill="1" applyBorder="1" applyAlignment="1" applyProtection="1">
      <alignment/>
      <protection/>
    </xf>
    <xf numFmtId="0" fontId="59" fillId="40" borderId="27" xfId="53" applyFont="1" applyFill="1" applyBorder="1" applyAlignment="1" applyProtection="1">
      <alignment/>
      <protection/>
    </xf>
    <xf numFmtId="0" fontId="60" fillId="40" borderId="11" xfId="53" applyFont="1" applyFill="1" applyBorder="1" applyAlignment="1" applyProtection="1">
      <alignment/>
      <protection/>
    </xf>
    <xf numFmtId="0" fontId="59" fillId="40" borderId="0" xfId="53" applyFont="1" applyFill="1" applyAlignment="1" applyProtection="1">
      <alignment/>
      <protection/>
    </xf>
    <xf numFmtId="0" fontId="59" fillId="0" borderId="0" xfId="0" applyFont="1" applyAlignment="1">
      <alignment/>
    </xf>
    <xf numFmtId="49" fontId="59" fillId="40" borderId="0" xfId="53" applyNumberFormat="1" applyFont="1" applyFill="1" applyBorder="1" applyAlignment="1" applyProtection="1">
      <alignment horizontal="left"/>
      <protection/>
    </xf>
    <xf numFmtId="0" fontId="61" fillId="40" borderId="0" xfId="53" applyFont="1" applyFill="1" applyAlignment="1" applyProtection="1">
      <alignment/>
      <protection/>
    </xf>
    <xf numFmtId="0" fontId="59" fillId="0" borderId="0" xfId="0" applyFont="1" applyFill="1" applyAlignment="1">
      <alignment/>
    </xf>
    <xf numFmtId="49" fontId="59" fillId="40" borderId="0" xfId="53" applyNumberFormat="1" applyFont="1" applyFill="1" applyAlignment="1" applyProtection="1">
      <alignment/>
      <protection/>
    </xf>
    <xf numFmtId="0" fontId="59" fillId="0" borderId="0" xfId="53" applyFont="1" applyAlignment="1" applyProtection="1">
      <alignment/>
      <protection/>
    </xf>
    <xf numFmtId="184" fontId="59" fillId="39" borderId="29" xfId="53" applyNumberFormat="1" applyFont="1" applyFill="1" applyBorder="1" applyAlignment="1" applyProtection="1">
      <alignment horizontal="center"/>
      <protection/>
    </xf>
    <xf numFmtId="184" fontId="59" fillId="39" borderId="20" xfId="53" applyNumberFormat="1" applyFont="1" applyFill="1" applyBorder="1" applyAlignment="1" applyProtection="1">
      <alignment horizontal="center"/>
      <protection/>
    </xf>
    <xf numFmtId="184" fontId="59" fillId="39" borderId="0" xfId="53" applyNumberFormat="1" applyFont="1" applyFill="1" applyBorder="1" applyAlignment="1" applyProtection="1">
      <alignment/>
      <protection/>
    </xf>
    <xf numFmtId="184" fontId="59" fillId="39" borderId="0" xfId="53" applyNumberFormat="1" applyFont="1" applyFill="1" applyAlignment="1" applyProtection="1">
      <alignment/>
      <protection/>
    </xf>
    <xf numFmtId="184" fontId="59"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8"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9"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9"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9" fillId="40" borderId="14" xfId="0" applyNumberFormat="1" applyFont="1" applyFill="1" applyBorder="1" applyAlignment="1">
      <alignment horizontal="center" wrapText="1"/>
    </xf>
    <xf numFmtId="49" fontId="59" fillId="40" borderId="29" xfId="0" applyNumberFormat="1" applyFont="1" applyFill="1" applyBorder="1" applyAlignment="1">
      <alignment horizontal="center" wrapText="1"/>
    </xf>
    <xf numFmtId="2" fontId="59" fillId="40" borderId="29" xfId="53" applyNumberFormat="1" applyFont="1" applyFill="1" applyBorder="1" applyAlignment="1" applyProtection="1">
      <alignment horizontal="center"/>
      <protection/>
    </xf>
    <xf numFmtId="1" fontId="59" fillId="40" borderId="29" xfId="53" applyNumberFormat="1" applyFont="1" applyFill="1" applyBorder="1" applyAlignment="1" applyProtection="1">
      <alignment horizontal="center"/>
      <protection/>
    </xf>
    <xf numFmtId="184" fontId="59"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9"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9"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49" fontId="15" fillId="0" borderId="0" xfId="0" applyNumberFormat="1" applyFont="1" applyFill="1" applyBorder="1" applyAlignment="1" applyProtection="1">
      <alignment horizontal="right"/>
      <protection/>
    </xf>
    <xf numFmtId="0" fontId="0" fillId="0" borderId="0" xfId="0" applyFill="1" applyAlignment="1">
      <alignment/>
    </xf>
    <xf numFmtId="184" fontId="62" fillId="0" borderId="0" xfId="0" applyNumberFormat="1" applyFont="1" applyFill="1" applyBorder="1" applyAlignment="1" applyProtection="1">
      <alignment/>
      <protection/>
    </xf>
    <xf numFmtId="184" fontId="0" fillId="0" borderId="0" xfId="0" applyNumberFormat="1"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lignment/>
    </xf>
    <xf numFmtId="49" fontId="0" fillId="0" borderId="0" xfId="0" applyNumberFormat="1" applyFont="1" applyBorder="1" applyAlignment="1" quotePrefix="1">
      <alignment horizontal="left"/>
    </xf>
    <xf numFmtId="49" fontId="13" fillId="40" borderId="0" xfId="53" applyNumberFormat="1" applyFont="1" applyFill="1" applyAlignment="1" applyProtection="1">
      <alignment/>
      <protection/>
    </xf>
    <xf numFmtId="37" fontId="0" fillId="0" borderId="10" xfId="0" applyNumberFormat="1" applyFont="1" applyFill="1" applyBorder="1" applyAlignment="1" applyProtection="1">
      <alignment/>
      <protection/>
    </xf>
    <xf numFmtId="0" fontId="16" fillId="0" borderId="0" xfId="0" applyFont="1" applyAlignment="1">
      <alignment/>
    </xf>
    <xf numFmtId="49" fontId="16" fillId="0" borderId="0" xfId="0" applyNumberFormat="1" applyFont="1" applyFill="1" applyBorder="1" applyAlignment="1">
      <alignment vertical="top"/>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0" fillId="0" borderId="23" xfId="0" applyBorder="1" applyAlignment="1" applyProtection="1">
      <alignment horizont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horizontal="left"/>
      <protection/>
    </xf>
    <xf numFmtId="0" fontId="0" fillId="0" borderId="22" xfId="0" applyFill="1" applyBorder="1" applyAlignment="1" applyProtection="1">
      <alignment horizontal="left"/>
      <protection/>
    </xf>
    <xf numFmtId="0" fontId="0" fillId="0" borderId="0" xfId="0" applyBorder="1" applyAlignment="1" applyProtection="1">
      <alignment horizontal="left" wrapText="1"/>
      <protection/>
    </xf>
    <xf numFmtId="0" fontId="0" fillId="0" borderId="22" xfId="0" applyBorder="1" applyAlignment="1" applyProtection="1">
      <alignment horizontal="left" wrapText="1"/>
      <protection/>
    </xf>
    <xf numFmtId="0" fontId="10" fillId="0" borderId="0" xfId="0" applyFont="1" applyFill="1" applyAlignment="1" applyProtection="1">
      <alignment horizontal="center"/>
      <protection/>
    </xf>
    <xf numFmtId="0" fontId="1" fillId="0" borderId="0" xfId="0" applyFont="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14" fillId="0" borderId="0" xfId="0" applyFont="1" applyFill="1" applyBorder="1" applyAlignment="1" applyProtection="1">
      <alignment horizontal="center"/>
      <protection/>
    </xf>
    <xf numFmtId="0" fontId="0" fillId="0" borderId="23" xfId="0" applyBorder="1" applyAlignment="1" applyProtection="1">
      <alignment horizontal="center" vertical="top"/>
      <protection/>
    </xf>
    <xf numFmtId="0" fontId="7" fillId="0" borderId="10" xfId="53"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Fill="1" applyBorder="1" applyAlignment="1" applyProtection="1">
      <alignment horizontal="left" wrapText="1"/>
      <protection/>
    </xf>
    <xf numFmtId="0" fontId="0" fillId="0" borderId="0" xfId="0" applyBorder="1" applyAlignment="1" applyProtection="1">
      <alignment horizontal="center" vertical="top"/>
      <protection/>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49" fontId="0" fillId="0" borderId="10" xfId="0" applyNumberFormat="1"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7" fontId="0" fillId="0" borderId="14" xfId="57" applyNumberFormat="1" applyFont="1" applyBorder="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14" xfId="57" applyNumberFormat="1" applyFont="1" applyFill="1" applyBorder="1" applyProtection="1">
      <alignment/>
      <protection/>
    </xf>
    <xf numFmtId="38" fontId="0" fillId="0" borderId="29" xfId="57" applyNumberFormat="1" applyFont="1" applyFill="1" applyBorder="1" applyProtection="1">
      <alignment/>
      <protection/>
    </xf>
    <xf numFmtId="38" fontId="0" fillId="0" borderId="20" xfId="57" applyNumberFormat="1" applyFont="1" applyFill="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9"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29"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37" fontId="0" fillId="0" borderId="13" xfId="0" applyNumberFormat="1" applyFont="1" applyBorder="1" applyAlignment="1" applyProtection="1">
      <alignment horizontal="right"/>
      <protection locked="0"/>
    </xf>
    <xf numFmtId="49" fontId="13" fillId="40" borderId="0" xfId="53" applyNumberFormat="1" applyFont="1" applyFill="1" applyBorder="1" applyAlignment="1" applyProtection="1">
      <alignment horizontal="left" vertical="top" wrapText="1"/>
      <protection/>
    </xf>
    <xf numFmtId="0" fontId="3" fillId="0" borderId="25" xfId="0" applyFont="1" applyFill="1" applyBorder="1" applyAlignment="1">
      <alignment horizontal="center" wrapText="1"/>
    </xf>
    <xf numFmtId="0" fontId="3" fillId="0" borderId="10" xfId="0" applyFont="1" applyFill="1" applyBorder="1" applyAlignment="1">
      <alignment horizontal="center" wrapText="1"/>
    </xf>
    <xf numFmtId="0" fontId="3" fillId="0" borderId="26" xfId="0" applyFont="1" applyFill="1" applyBorder="1" applyAlignment="1">
      <alignment horizontal="center" wrapText="1"/>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0" fontId="13" fillId="40" borderId="0" xfId="53" applyFont="1" applyFill="1" applyAlignment="1" applyProtection="1">
      <alignment horizontal="left" vertical="top" wrapText="1"/>
      <protection/>
    </xf>
    <xf numFmtId="37" fontId="0" fillId="0" borderId="28" xfId="0" applyNumberFormat="1" applyFont="1" applyBorder="1" applyAlignment="1" applyProtection="1">
      <alignment horizontal="right"/>
      <protection locked="0"/>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9" fillId="40" borderId="0" xfId="53" applyFont="1" applyFill="1" applyAlignment="1" applyProtection="1">
      <alignment horizontal="center" vertical="top" wrapText="1"/>
      <protection/>
    </xf>
    <xf numFmtId="0" fontId="59" fillId="40" borderId="22" xfId="53" applyFont="1" applyFill="1" applyBorder="1" applyAlignment="1" applyProtection="1">
      <alignment horizontal="center" vertical="top" wrapText="1"/>
      <protection/>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9" fillId="40" borderId="0" xfId="53" applyFont="1" applyFill="1" applyAlignment="1" applyProtection="1">
      <alignment horizontal="left"/>
      <protection/>
    </xf>
    <xf numFmtId="0" fontId="59"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59" fillId="40" borderId="0" xfId="53" applyFont="1" applyFill="1" applyAlignment="1" applyProtection="1">
      <alignment horizontal="center"/>
      <protection/>
    </xf>
    <xf numFmtId="0" fontId="59"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Fill="1" applyAlignment="1">
      <alignment horizontal="left"/>
    </xf>
    <xf numFmtId="0" fontId="0" fillId="0" borderId="22" xfId="0" applyFont="1" applyFill="1" applyBorder="1" applyAlignment="1">
      <alignment horizontal="left"/>
    </xf>
    <xf numFmtId="184" fontId="0" fillId="35" borderId="0" xfId="0" applyNumberFormat="1" applyFont="1" applyFill="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Border="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ExpensesPage2"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GeneralPage1"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 Id="rId2" Type="http://schemas.openxmlformats.org/officeDocument/2006/relationships/image" Target="../media/image9.png"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18</xdr:col>
      <xdr:colOff>57150</xdr:colOff>
      <xdr:row>2</xdr:row>
      <xdr:rowOff>57150</xdr:rowOff>
    </xdr:from>
    <xdr:to>
      <xdr:col>32</xdr:col>
      <xdr:colOff>400050</xdr:colOff>
      <xdr:row>8</xdr:row>
      <xdr:rowOff>47625</xdr:rowOff>
    </xdr:to>
    <xdr:pic>
      <xdr:nvPicPr>
        <xdr:cNvPr id="2" name="Picture 1"/>
        <xdr:cNvPicPr preferRelativeResize="1">
          <a:picLocks noChangeAspect="1"/>
        </xdr:cNvPicPr>
      </xdr:nvPicPr>
      <xdr:blipFill>
        <a:blip r:embed="rId2"/>
        <a:stretch>
          <a:fillRect/>
        </a:stretch>
      </xdr:blipFill>
      <xdr:spPr>
        <a:xfrm>
          <a:off x="10229850" y="381000"/>
          <a:ext cx="78105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57150</xdr:colOff>
      <xdr:row>2</xdr:row>
      <xdr:rowOff>9525</xdr:rowOff>
    </xdr:from>
    <xdr:to>
      <xdr:col>27</xdr:col>
      <xdr:colOff>390525</xdr:colOff>
      <xdr:row>12</xdr:row>
      <xdr:rowOff>28575</xdr:rowOff>
    </xdr:to>
    <xdr:pic>
      <xdr:nvPicPr>
        <xdr:cNvPr id="2" name="Picture 1"/>
        <xdr:cNvPicPr preferRelativeResize="1">
          <a:picLocks noChangeAspect="1"/>
        </xdr:cNvPicPr>
      </xdr:nvPicPr>
      <xdr:blipFill>
        <a:blip r:embed="rId2"/>
        <a:stretch>
          <a:fillRect/>
        </a:stretch>
      </xdr:blipFill>
      <xdr:spPr>
        <a:xfrm>
          <a:off x="10210800" y="209550"/>
          <a:ext cx="7800975"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14</xdr:col>
      <xdr:colOff>28575</xdr:colOff>
      <xdr:row>2</xdr:row>
      <xdr:rowOff>28575</xdr:rowOff>
    </xdr:from>
    <xdr:to>
      <xdr:col>28</xdr:col>
      <xdr:colOff>371475</xdr:colOff>
      <xdr:row>23</xdr:row>
      <xdr:rowOff>104775</xdr:rowOff>
    </xdr:to>
    <xdr:pic>
      <xdr:nvPicPr>
        <xdr:cNvPr id="2" name="Picture 2"/>
        <xdr:cNvPicPr preferRelativeResize="1">
          <a:picLocks noChangeAspect="1"/>
        </xdr:cNvPicPr>
      </xdr:nvPicPr>
      <xdr:blipFill>
        <a:blip r:embed="rId2"/>
        <a:stretch>
          <a:fillRect/>
        </a:stretch>
      </xdr:blipFill>
      <xdr:spPr>
        <a:xfrm>
          <a:off x="9658350" y="352425"/>
          <a:ext cx="7810500" cy="3476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21</xdr:col>
      <xdr:colOff>66675</xdr:colOff>
      <xdr:row>0</xdr:row>
      <xdr:rowOff>95250</xdr:rowOff>
    </xdr:from>
    <xdr:to>
      <xdr:col>35</xdr:col>
      <xdr:colOff>38100</xdr:colOff>
      <xdr:row>34</xdr:row>
      <xdr:rowOff>38100</xdr:rowOff>
    </xdr:to>
    <xdr:pic>
      <xdr:nvPicPr>
        <xdr:cNvPr id="2" name="Picture 1"/>
        <xdr:cNvPicPr preferRelativeResize="1">
          <a:picLocks noChangeAspect="1"/>
        </xdr:cNvPicPr>
      </xdr:nvPicPr>
      <xdr:blipFill>
        <a:blip r:embed="rId2"/>
        <a:stretch>
          <a:fillRect/>
        </a:stretch>
      </xdr:blipFill>
      <xdr:spPr>
        <a:xfrm>
          <a:off x="11791950" y="95250"/>
          <a:ext cx="7810500" cy="5457825"/>
        </a:xfrm>
        <a:prstGeom prst="rect">
          <a:avLst/>
        </a:prstGeom>
        <a:noFill/>
        <a:ln w="9525" cmpd="sng">
          <a:noFill/>
        </a:ln>
      </xdr:spPr>
    </xdr:pic>
    <xdr:clientData/>
  </xdr:twoCellAnchor>
  <xdr:twoCellAnchor editAs="oneCell">
    <xdr:from>
      <xdr:col>21</xdr:col>
      <xdr:colOff>76200</xdr:colOff>
      <xdr:row>34</xdr:row>
      <xdr:rowOff>28575</xdr:rowOff>
    </xdr:from>
    <xdr:to>
      <xdr:col>35</xdr:col>
      <xdr:colOff>38100</xdr:colOff>
      <xdr:row>66</xdr:row>
      <xdr:rowOff>9525</xdr:rowOff>
    </xdr:to>
    <xdr:pic>
      <xdr:nvPicPr>
        <xdr:cNvPr id="3" name="Picture 3"/>
        <xdr:cNvPicPr preferRelativeResize="1">
          <a:picLocks noChangeAspect="1"/>
        </xdr:cNvPicPr>
      </xdr:nvPicPr>
      <xdr:blipFill>
        <a:blip r:embed="rId3"/>
        <a:stretch>
          <a:fillRect/>
        </a:stretch>
      </xdr:blipFill>
      <xdr:spPr>
        <a:xfrm>
          <a:off x="11801475" y="5543550"/>
          <a:ext cx="7800975" cy="5943600"/>
        </a:xfrm>
        <a:prstGeom prst="rect">
          <a:avLst/>
        </a:prstGeom>
        <a:noFill/>
        <a:ln w="9525" cmpd="sng">
          <a:noFill/>
        </a:ln>
      </xdr:spPr>
    </xdr:pic>
    <xdr:clientData/>
  </xdr:twoCellAnchor>
  <xdr:twoCellAnchor editAs="oneCell">
    <xdr:from>
      <xdr:col>21</xdr:col>
      <xdr:colOff>76200</xdr:colOff>
      <xdr:row>65</xdr:row>
      <xdr:rowOff>142875</xdr:rowOff>
    </xdr:from>
    <xdr:to>
      <xdr:col>35</xdr:col>
      <xdr:colOff>38100</xdr:colOff>
      <xdr:row>103</xdr:row>
      <xdr:rowOff>123825</xdr:rowOff>
    </xdr:to>
    <xdr:pic>
      <xdr:nvPicPr>
        <xdr:cNvPr id="4" name="Picture 4"/>
        <xdr:cNvPicPr preferRelativeResize="1">
          <a:picLocks noChangeAspect="1"/>
        </xdr:cNvPicPr>
      </xdr:nvPicPr>
      <xdr:blipFill>
        <a:blip r:embed="rId4"/>
        <a:stretch>
          <a:fillRect/>
        </a:stretch>
      </xdr:blipFill>
      <xdr:spPr>
        <a:xfrm>
          <a:off x="11801475" y="11458575"/>
          <a:ext cx="7800975" cy="6134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333375</xdr:colOff>
      <xdr:row>3</xdr:row>
      <xdr:rowOff>28575</xdr:rowOff>
    </xdr:to>
    <xdr:sp>
      <xdr:nvSpPr>
        <xdr:cNvPr id="1" name="TextBox 1">
          <a:hlinkClick r:id="rId1"/>
        </xdr:cNvPr>
        <xdr:cNvSpPr txBox="1">
          <a:spLocks noChangeArrowheads="1"/>
        </xdr:cNvSpPr>
      </xdr:nvSpPr>
      <xdr:spPr>
        <a:xfrm>
          <a:off x="123825" y="238125"/>
          <a:ext cx="9334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23</xdr:col>
      <xdr:colOff>190500</xdr:colOff>
      <xdr:row>1</xdr:row>
      <xdr:rowOff>114300</xdr:rowOff>
    </xdr:from>
    <xdr:to>
      <xdr:col>38</xdr:col>
      <xdr:colOff>0</xdr:colOff>
      <xdr:row>14</xdr:row>
      <xdr:rowOff>114300</xdr:rowOff>
    </xdr:to>
    <xdr:pic>
      <xdr:nvPicPr>
        <xdr:cNvPr id="2" name="Picture 4"/>
        <xdr:cNvPicPr preferRelativeResize="1">
          <a:picLocks noChangeAspect="1"/>
        </xdr:cNvPicPr>
      </xdr:nvPicPr>
      <xdr:blipFill>
        <a:blip r:embed="rId2"/>
        <a:stretch>
          <a:fillRect/>
        </a:stretch>
      </xdr:blipFill>
      <xdr:spPr>
        <a:xfrm>
          <a:off x="10448925" y="276225"/>
          <a:ext cx="7810500" cy="2076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114300</xdr:rowOff>
    </xdr:to>
    <xdr:sp>
      <xdr:nvSpPr>
        <xdr:cNvPr id="1" name="TextBox 1">
          <a:hlinkClick r:id="rId1"/>
        </xdr:cNvPr>
        <xdr:cNvSpPr txBox="1">
          <a:spLocks noChangeArrowheads="1"/>
        </xdr:cNvSpPr>
      </xdr:nvSpPr>
      <xdr:spPr>
        <a:xfrm>
          <a:off x="1771650" y="485775"/>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104775</xdr:colOff>
      <xdr:row>1</xdr:row>
      <xdr:rowOff>66675</xdr:rowOff>
    </xdr:from>
    <xdr:to>
      <xdr:col>27</xdr:col>
      <xdr:colOff>438150</xdr:colOff>
      <xdr:row>12</xdr:row>
      <xdr:rowOff>114300</xdr:rowOff>
    </xdr:to>
    <xdr:pic>
      <xdr:nvPicPr>
        <xdr:cNvPr id="2" name="Picture 2"/>
        <xdr:cNvPicPr preferRelativeResize="1">
          <a:picLocks noChangeAspect="1"/>
        </xdr:cNvPicPr>
      </xdr:nvPicPr>
      <xdr:blipFill>
        <a:blip r:embed="rId2"/>
        <a:stretch>
          <a:fillRect/>
        </a:stretch>
      </xdr:blipFill>
      <xdr:spPr>
        <a:xfrm>
          <a:off x="9886950" y="228600"/>
          <a:ext cx="7800975" cy="1828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12</xdr:col>
      <xdr:colOff>133350</xdr:colOff>
      <xdr:row>2</xdr:row>
      <xdr:rowOff>0</xdr:rowOff>
    </xdr:from>
    <xdr:to>
      <xdr:col>24</xdr:col>
      <xdr:colOff>400050</xdr:colOff>
      <xdr:row>36</xdr:row>
      <xdr:rowOff>123825</xdr:rowOff>
    </xdr:to>
    <xdr:pic>
      <xdr:nvPicPr>
        <xdr:cNvPr id="2" name="Picture 2"/>
        <xdr:cNvPicPr preferRelativeResize="1">
          <a:picLocks noChangeAspect="1"/>
        </xdr:cNvPicPr>
      </xdr:nvPicPr>
      <xdr:blipFill>
        <a:blip r:embed="rId2"/>
        <a:stretch>
          <a:fillRect/>
        </a:stretch>
      </xdr:blipFill>
      <xdr:spPr>
        <a:xfrm>
          <a:off x="11601450" y="304800"/>
          <a:ext cx="7800975" cy="5305425"/>
        </a:xfrm>
        <a:prstGeom prst="rect">
          <a:avLst/>
        </a:prstGeom>
        <a:noFill/>
        <a:ln w="9525" cmpd="sng">
          <a:noFill/>
        </a:ln>
      </xdr:spPr>
    </xdr:pic>
    <xdr:clientData/>
  </xdr:twoCellAnchor>
  <xdr:twoCellAnchor editAs="oneCell">
    <xdr:from>
      <xdr:col>12</xdr:col>
      <xdr:colOff>133350</xdr:colOff>
      <xdr:row>36</xdr:row>
      <xdr:rowOff>95250</xdr:rowOff>
    </xdr:from>
    <xdr:to>
      <xdr:col>24</xdr:col>
      <xdr:colOff>400050</xdr:colOff>
      <xdr:row>72</xdr:row>
      <xdr:rowOff>133350</xdr:rowOff>
    </xdr:to>
    <xdr:pic>
      <xdr:nvPicPr>
        <xdr:cNvPr id="3" name="Picture 3"/>
        <xdr:cNvPicPr preferRelativeResize="1">
          <a:picLocks noChangeAspect="1"/>
        </xdr:cNvPicPr>
      </xdr:nvPicPr>
      <xdr:blipFill>
        <a:blip r:embed="rId3"/>
        <a:stretch>
          <a:fillRect/>
        </a:stretch>
      </xdr:blipFill>
      <xdr:spPr>
        <a:xfrm>
          <a:off x="11601450" y="5581650"/>
          <a:ext cx="7800975" cy="580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r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fr18-food%20servi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hool%20Districts\USFR%20MEMOs\Pending\FY%202018%20AFR\2018%20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6"/>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lassSiteProj" refersTo="=Page 2!$J$42"/>
      <definedName name="SP1000CompInstrProj" refersTo="=Page 2!$J$45"/>
      <definedName name="SP1000FedStProj" refersTo="=Page 2!$J$46"/>
      <definedName name="SP1000InstrImpProj" refersTo="=Page 2!$J$43"/>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7"/>
      <definedName name="SP1000P530" refersTo="=Page 2!$J$38"/>
      <definedName name="SP1000P540" refersTo="=Page 2!$J$39"/>
      <definedName name="SP1000P550" refersTo="=Page 2!$J$40"/>
      <definedName name="SP1000P610" refersTo="=Page 2!$J$19"/>
      <definedName name="SP1000P620" refersTo="=Page 2!$J$20"/>
      <definedName name="SP1000P630700800900" refersTo="=Page 2!$J$21"/>
      <definedName name="SP1000StruEngImmProj" refersTo="=Page 2!$J$44"/>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2"/>
      <definedName name="StP1465EndBal" refersTo="=Page 9!$L$33"/>
      <definedName name="StP14701499EndBal" refersTo="=Page 9!$L$34"/>
    </definedNames>
    <sheetDataSet>
      <sheetData sheetId="2">
        <row r="6">
          <cell r="J6">
            <v>337362</v>
          </cell>
        </row>
        <row r="8">
          <cell r="J8">
            <v>53115</v>
          </cell>
        </row>
        <row r="10">
          <cell r="J10">
            <v>66435</v>
          </cell>
        </row>
        <row r="11">
          <cell r="J11">
            <v>0</v>
          </cell>
        </row>
        <row r="12">
          <cell r="J12">
            <v>78027</v>
          </cell>
        </row>
        <row r="13">
          <cell r="J13">
            <v>93009</v>
          </cell>
        </row>
        <row r="14">
          <cell r="J14">
            <v>159865</v>
          </cell>
        </row>
        <row r="15">
          <cell r="J15">
            <v>36382</v>
          </cell>
        </row>
        <row r="16">
          <cell r="J16">
            <v>20220</v>
          </cell>
        </row>
        <row r="17">
          <cell r="J17">
            <v>0</v>
          </cell>
        </row>
        <row r="18">
          <cell r="J18">
            <v>0</v>
          </cell>
        </row>
        <row r="19">
          <cell r="J19">
            <v>0</v>
          </cell>
        </row>
        <row r="20">
          <cell r="J20">
            <v>0</v>
          </cell>
        </row>
        <row r="21">
          <cell r="J21">
            <v>16826</v>
          </cell>
        </row>
        <row r="23">
          <cell r="J23">
            <v>21153</v>
          </cell>
        </row>
        <row r="25">
          <cell r="J25">
            <v>24664</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7">
          <cell r="J37">
            <v>0</v>
          </cell>
        </row>
        <row r="38">
          <cell r="J38">
            <v>0</v>
          </cell>
        </row>
        <row r="39">
          <cell r="J39">
            <v>0</v>
          </cell>
        </row>
        <row r="40">
          <cell r="J40">
            <v>14600</v>
          </cell>
        </row>
        <row r="42">
          <cell r="J42">
            <v>45694</v>
          </cell>
        </row>
        <row r="43">
          <cell r="J43">
            <v>4352</v>
          </cell>
        </row>
        <row r="44">
          <cell r="J44">
            <v>0</v>
          </cell>
        </row>
        <row r="45">
          <cell r="J45">
            <v>0</v>
          </cell>
        </row>
        <row r="46">
          <cell r="J46">
            <v>11868</v>
          </cell>
        </row>
      </sheetData>
      <sheetData sheetId="4">
        <row r="38">
          <cell r="F38">
            <v>7</v>
          </cell>
          <cell r="G38">
            <v>9224</v>
          </cell>
          <cell r="H38">
            <v>1</v>
          </cell>
        </row>
      </sheetData>
      <sheetData sheetId="5">
        <row r="19">
          <cell r="F19">
            <v>-818</v>
          </cell>
        </row>
      </sheetData>
      <sheetData sheetId="6">
        <row r="26">
          <cell r="O26">
            <v>0</v>
          </cell>
        </row>
        <row r="48">
          <cell r="O48">
            <v>0</v>
          </cell>
        </row>
      </sheetData>
      <sheetData sheetId="7">
        <row r="6">
          <cell r="F6">
            <v>71010</v>
          </cell>
        </row>
      </sheetData>
      <sheetData sheetId="9">
        <row r="6">
          <cell r="L6">
            <v>0</v>
          </cell>
        </row>
        <row r="7">
          <cell r="L7">
            <v>0</v>
          </cell>
        </row>
        <row r="8">
          <cell r="L8">
            <v>0</v>
          </cell>
        </row>
        <row r="9">
          <cell r="L9">
            <v>0</v>
          </cell>
        </row>
        <row r="10">
          <cell r="L10">
            <v>0</v>
          </cell>
        </row>
        <row r="11">
          <cell r="L11">
            <v>0</v>
          </cell>
        </row>
        <row r="12">
          <cell r="L12">
            <v>0</v>
          </cell>
        </row>
        <row r="14">
          <cell r="L14">
            <v>0</v>
          </cell>
        </row>
        <row r="15">
          <cell r="L15">
            <v>0</v>
          </cell>
        </row>
        <row r="16">
          <cell r="L16">
            <v>0</v>
          </cell>
        </row>
        <row r="17">
          <cell r="L17">
            <v>0</v>
          </cell>
        </row>
        <row r="18">
          <cell r="L18">
            <v>0</v>
          </cell>
        </row>
        <row r="19">
          <cell r="L19">
            <v>0</v>
          </cell>
        </row>
        <row r="20">
          <cell r="L20">
            <v>0</v>
          </cell>
        </row>
        <row r="22">
          <cell r="L22">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s>
    <sheetDataSet>
      <sheetData sheetId="1">
        <row r="8">
          <cell r="L8">
            <v>500695</v>
          </cell>
        </row>
        <row r="10">
          <cell r="L10">
            <v>65661</v>
          </cell>
        </row>
        <row r="11">
          <cell r="L11">
            <v>66288</v>
          </cell>
        </row>
        <row r="12">
          <cell r="L12">
            <v>400</v>
          </cell>
        </row>
        <row r="13">
          <cell r="L13">
            <v>69338</v>
          </cell>
        </row>
        <row r="14">
          <cell r="L14">
            <v>89532</v>
          </cell>
        </row>
        <row r="15">
          <cell r="L15">
            <v>207714</v>
          </cell>
        </row>
        <row r="16">
          <cell r="L16">
            <v>0</v>
          </cell>
        </row>
        <row r="17">
          <cell r="L17">
            <v>45308</v>
          </cell>
        </row>
        <row r="18">
          <cell r="L18">
            <v>0</v>
          </cell>
        </row>
        <row r="19">
          <cell r="L19">
            <v>0</v>
          </cell>
        </row>
        <row r="20">
          <cell r="L20">
            <v>0</v>
          </cell>
        </row>
        <row r="21">
          <cell r="L21">
            <v>0</v>
          </cell>
        </row>
        <row r="22">
          <cell r="L22">
            <v>40622</v>
          </cell>
        </row>
        <row r="25">
          <cell r="L25">
            <v>11646</v>
          </cell>
        </row>
        <row r="27">
          <cell r="L27">
            <v>26827</v>
          </cell>
        </row>
        <row r="28">
          <cell r="L28">
            <v>38615</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28500</v>
          </cell>
        </row>
        <row r="44">
          <cell r="L44">
            <v>76641</v>
          </cell>
        </row>
        <row r="45">
          <cell r="L45">
            <v>9269</v>
          </cell>
        </row>
        <row r="46">
          <cell r="L46">
            <v>0</v>
          </cell>
        </row>
        <row r="47">
          <cell r="L47">
            <v>0</v>
          </cell>
        </row>
        <row r="48">
          <cell r="L48">
            <v>16862</v>
          </cell>
        </row>
      </sheetData>
      <sheetData sheetId="2">
        <row r="12">
          <cell r="E12">
            <v>16862</v>
          </cell>
        </row>
        <row r="19">
          <cell r="N19">
            <v>9269</v>
          </cell>
        </row>
      </sheetData>
      <sheetData sheetId="3">
        <row r="9">
          <cell r="K9">
            <v>14959</v>
          </cell>
        </row>
        <row r="10">
          <cell r="K10">
            <v>0</v>
          </cell>
        </row>
        <row r="11">
          <cell r="K11">
            <v>0</v>
          </cell>
        </row>
        <row r="14">
          <cell r="K14">
            <v>0</v>
          </cell>
        </row>
        <row r="15">
          <cell r="K15">
            <v>0</v>
          </cell>
        </row>
        <row r="16">
          <cell r="K16">
            <v>0</v>
          </cell>
        </row>
        <row r="19">
          <cell r="K19">
            <v>0</v>
          </cell>
        </row>
        <row r="20">
          <cell r="K20">
            <v>0</v>
          </cell>
        </row>
        <row r="21">
          <cell r="K21">
            <v>0</v>
          </cell>
        </row>
        <row r="26">
          <cell r="K26">
            <v>28574</v>
          </cell>
        </row>
        <row r="27">
          <cell r="K27">
            <v>0</v>
          </cell>
        </row>
        <row r="28">
          <cell r="K28">
            <v>0</v>
          </cell>
        </row>
        <row r="31">
          <cell r="K31">
            <v>0</v>
          </cell>
        </row>
        <row r="32">
          <cell r="K32">
            <v>0</v>
          </cell>
        </row>
        <row r="33">
          <cell r="K33">
            <v>0</v>
          </cell>
        </row>
        <row r="36">
          <cell r="K36">
            <v>0</v>
          </cell>
        </row>
        <row r="37">
          <cell r="K37">
            <v>0</v>
          </cell>
        </row>
        <row r="38">
          <cell r="K38">
            <v>0</v>
          </cell>
        </row>
        <row r="43">
          <cell r="K43">
            <v>33108</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Page 6"/>
      <sheetName val="Page 7"/>
      <sheetName val="Page 8"/>
      <sheetName val="Page 9"/>
      <sheetName val="Summary"/>
      <sheetName val="Supplement"/>
      <sheetName val="Instructions"/>
      <sheetName val="Excel Hi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scds.com" TargetMode="External" /><Relationship Id="rId2" Type="http://schemas.openxmlformats.org/officeDocument/2006/relationships/hyperlink" Target="mailto:cdouglas@adibiz.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workbookViewId="0" topLeftCell="A1">
      <selection activeCell="O20" sqref="O20:R20"/>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1" t="s">
        <v>0</v>
      </c>
      <c r="B1" s="541"/>
      <c r="C1" s="541"/>
      <c r="D1" s="529" t="s">
        <v>518</v>
      </c>
      <c r="E1" s="529"/>
      <c r="F1" s="529"/>
      <c r="G1" s="529"/>
      <c r="H1" s="529"/>
      <c r="I1" s="529"/>
      <c r="J1" s="49"/>
      <c r="K1" s="50"/>
      <c r="L1" s="96" t="s">
        <v>1</v>
      </c>
      <c r="M1" s="529" t="s">
        <v>519</v>
      </c>
      <c r="N1" s="529"/>
      <c r="O1"/>
      <c r="P1"/>
      <c r="Q1" s="97" t="s">
        <v>138</v>
      </c>
      <c r="R1" s="51" t="s">
        <v>520</v>
      </c>
    </row>
    <row r="2" spans="1:18" ht="12.75" customHeight="1">
      <c r="A2" s="70"/>
      <c r="B2" s="70"/>
      <c r="C2" s="70"/>
      <c r="D2" s="530" t="s">
        <v>136</v>
      </c>
      <c r="E2" s="530"/>
      <c r="F2" s="530"/>
      <c r="G2" s="530"/>
      <c r="H2" s="530"/>
      <c r="I2" s="530"/>
      <c r="J2" s="49"/>
      <c r="K2" s="50"/>
      <c r="L2" s="550">
        <f>IF('Page 2'!J47=0,"",IF(OR(L3&lt;&gt;"",L5&lt;&gt;"",L7&lt;&gt;"",L8&lt;&gt;"",L9&lt;&gt;"",L11&lt;&gt;"",L13&lt;&gt;"",L14&lt;&gt;"",L15&lt;&gt;"",L17&lt;&gt;"",A12&lt;&gt;""),"ALERT: The following items need to be addressed before the AFR is submitted",""))</f>
      </c>
      <c r="M2" s="550"/>
      <c r="N2" s="550"/>
      <c r="O2" s="550"/>
      <c r="P2" s="550"/>
      <c r="Q2" s="550"/>
      <c r="R2" s="550"/>
    </row>
    <row r="3" spans="1:18" ht="12.75" customHeight="1">
      <c r="A3" s="70"/>
      <c r="B3" s="70"/>
      <c r="C3" s="70"/>
      <c r="D3" s="529"/>
      <c r="E3" s="529"/>
      <c r="F3" s="529"/>
      <c r="G3" s="529"/>
      <c r="H3" s="529"/>
      <c r="I3" s="529"/>
      <c r="J3" s="49"/>
      <c r="K3" s="50"/>
      <c r="L3" s="556">
        <f>IF('Page 2'!J47=0,"",IF(OR('Page 4'!F35&lt;=0,'Page 4'!G35&lt;=0,'Page 4'!H35&lt;=0),"See Pages 3 and 4. Classroom Site Project information is not complete. Ensure that all revenues and expenses  have been included.",""))</f>
      </c>
      <c r="M3" s="556"/>
      <c r="N3" s="556"/>
      <c r="O3" s="556"/>
      <c r="P3" s="556"/>
      <c r="Q3" s="556"/>
      <c r="R3" s="556"/>
    </row>
    <row r="4" spans="1:18" ht="12.75" customHeight="1">
      <c r="A4" s="70"/>
      <c r="B4" s="70"/>
      <c r="C4" s="70"/>
      <c r="D4" s="530" t="s">
        <v>137</v>
      </c>
      <c r="E4" s="530"/>
      <c r="F4" s="530"/>
      <c r="G4" s="530"/>
      <c r="H4" s="530"/>
      <c r="I4" s="530"/>
      <c r="J4" s="49"/>
      <c r="K4" s="50"/>
      <c r="L4" s="556"/>
      <c r="M4" s="556"/>
      <c r="N4" s="556"/>
      <c r="O4" s="556"/>
      <c r="P4" s="556"/>
      <c r="Q4" s="556"/>
      <c r="R4" s="556"/>
    </row>
    <row r="5" spans="1:18" ht="12.75" customHeight="1">
      <c r="A5" s="70"/>
      <c r="B5" s="70"/>
      <c r="C5" s="70"/>
      <c r="D5" s="49"/>
      <c r="E5" s="49"/>
      <c r="F5" s="49"/>
      <c r="G5" s="49"/>
      <c r="H5" s="49"/>
      <c r="I5" s="49"/>
      <c r="J5" s="49"/>
      <c r="K5" s="50"/>
      <c r="L5" s="556">
        <f>IF('Page 2'!J47=0,"",IF('Page 5'!F16&lt;=0,"Page 5, Instructional Improvement Project information is not complete. Ensure that all revenues and expenses have been included.",""))</f>
      </c>
      <c r="M5" s="556"/>
      <c r="N5" s="556"/>
      <c r="O5" s="556"/>
      <c r="P5" s="556"/>
      <c r="Q5" s="556"/>
      <c r="R5" s="556"/>
    </row>
    <row r="6" spans="1:18" ht="18" customHeight="1">
      <c r="A6" s="54"/>
      <c r="B6" s="540" t="s">
        <v>470</v>
      </c>
      <c r="C6" s="540"/>
      <c r="D6" s="540"/>
      <c r="E6" s="540"/>
      <c r="F6" s="540"/>
      <c r="G6" s="540"/>
      <c r="H6" s="540"/>
      <c r="I6" s="540"/>
      <c r="J6" s="56"/>
      <c r="L6" s="556"/>
      <c r="M6" s="556"/>
      <c r="N6" s="556"/>
      <c r="O6" s="556"/>
      <c r="P6" s="556"/>
      <c r="Q6" s="556"/>
      <c r="R6" s="556"/>
    </row>
    <row r="7" spans="1:18" ht="18" customHeight="1">
      <c r="A7" s="54"/>
      <c r="B7" s="54"/>
      <c r="C7" s="54"/>
      <c r="D7" s="54"/>
      <c r="E7" s="54"/>
      <c r="F7" s="54"/>
      <c r="G7" s="54"/>
      <c r="H7" s="49"/>
      <c r="I7" s="49"/>
      <c r="J7" s="55"/>
      <c r="L7" s="536">
        <f>IF('Page 2'!J47=0,"",IF(OR('Page 7'!G30&lt;=0,'Page 7'!G31&lt;=0,'Page 7'!G32&lt;=0,'Page 7'!G33&lt;=0,'Page 7'!G34&lt;=0,'Page 7'!G37&lt;=0),"Page 7, Section E, Current Expenses table is not complete.",""))</f>
      </c>
      <c r="M7" s="536"/>
      <c r="N7" s="536"/>
      <c r="O7" s="536"/>
      <c r="P7" s="536"/>
      <c r="Q7" s="536"/>
      <c r="R7" s="536"/>
    </row>
    <row r="8" spans="1:18" ht="18" customHeight="1">
      <c r="A8" s="59"/>
      <c r="B8" s="532" t="s">
        <v>118</v>
      </c>
      <c r="C8" s="532"/>
      <c r="D8" s="532"/>
      <c r="E8" s="532"/>
      <c r="F8" s="532"/>
      <c r="G8" s="532"/>
      <c r="H8" s="532"/>
      <c r="I8" s="532"/>
      <c r="J8" s="56"/>
      <c r="K8" s="50"/>
      <c r="L8" s="557">
        <f>IF('Page 2'!J47=0,"",IF(SUM('Page 7'!M19:T23)&lt;=0,"Page 7, Section G, Teachers Salaries table is not complete.",""))</f>
      </c>
      <c r="M8" s="557"/>
      <c r="N8" s="557"/>
      <c r="O8" s="557"/>
      <c r="P8" s="557"/>
      <c r="Q8" s="557"/>
      <c r="R8" s="557"/>
    </row>
    <row r="9" spans="1:18" ht="12.75" customHeight="1">
      <c r="A9" s="59"/>
      <c r="B9" s="59"/>
      <c r="C9" s="59"/>
      <c r="D9" s="59"/>
      <c r="E9" s="59"/>
      <c r="F9" s="59"/>
      <c r="G9" s="59"/>
      <c r="H9" s="49"/>
      <c r="I9" s="49"/>
      <c r="J9" s="55"/>
      <c r="K9" s="50"/>
      <c r="L9" s="556">
        <f>IF('Page 2'!J47=0,"",IF(AND('Page 2'!J36&gt;0,'Page 8'!T23&lt;&gt;'Page 2'!J36),"Page 8, Section C, Special Education Programs By Type table does not include all Program 200 SPED expenditures. This total should agree to Page 2, line 27.",""))</f>
      </c>
      <c r="M9" s="556"/>
      <c r="N9" s="556"/>
      <c r="O9" s="556"/>
      <c r="P9" s="556"/>
      <c r="Q9" s="556"/>
      <c r="R9" s="556"/>
    </row>
    <row r="10" spans="1:18" ht="12.75" customHeight="1">
      <c r="A10" s="59"/>
      <c r="B10" s="533" t="s">
        <v>120</v>
      </c>
      <c r="C10" s="533"/>
      <c r="D10" s="533"/>
      <c r="E10" s="533"/>
      <c r="F10" s="533"/>
      <c r="G10" s="533"/>
      <c r="H10" s="533"/>
      <c r="I10" s="533"/>
      <c r="J10" s="56"/>
      <c r="L10" s="556"/>
      <c r="M10" s="556"/>
      <c r="N10" s="556"/>
      <c r="O10" s="556"/>
      <c r="P10" s="556"/>
      <c r="Q10" s="556"/>
      <c r="R10" s="556"/>
    </row>
    <row r="11" spans="1:18" ht="12.75" customHeight="1">
      <c r="A11" s="536"/>
      <c r="B11" s="536"/>
      <c r="C11" s="536"/>
      <c r="D11" s="536"/>
      <c r="E11" s="536"/>
      <c r="F11" s="536"/>
      <c r="G11" s="536"/>
      <c r="H11" s="536"/>
      <c r="I11" s="536"/>
      <c r="J11" s="537"/>
      <c r="K11" s="50"/>
      <c r="L11" s="554">
        <f>IF('Page 2'!J47=0,"",IF((SUM('Page 2'!J47))&gt;(SUM('Page 10'!D24:J24)+SUM('Page 10'!D31:D34)+'Page 10'!D45),"Page 10, NPEFS information is not accurate based on amounts reported throughout the AFR.",""))</f>
      </c>
      <c r="M11" s="554"/>
      <c r="N11" s="554"/>
      <c r="O11" s="554"/>
      <c r="P11" s="554"/>
      <c r="Q11" s="554"/>
      <c r="R11" s="554"/>
    </row>
    <row r="12" spans="1:18" ht="23.25" customHeight="1">
      <c r="A12" s="538">
        <f>IF('Page 2'!J47=0,"",IF(OR('Page 7'!T30=""),"Page 7, Section H, FY 2018 Additional Teacher Salary Increases table is not complete.",""))</f>
      </c>
      <c r="B12" s="538"/>
      <c r="C12" s="538"/>
      <c r="D12" s="538"/>
      <c r="E12" s="538"/>
      <c r="F12" s="538"/>
      <c r="G12" s="538"/>
      <c r="H12" s="538"/>
      <c r="I12" s="538"/>
      <c r="J12" s="539"/>
      <c r="K12" s="64"/>
      <c r="L12" s="554"/>
      <c r="M12" s="554"/>
      <c r="N12" s="554"/>
      <c r="O12" s="554"/>
      <c r="P12" s="554"/>
      <c r="Q12" s="554"/>
      <c r="R12" s="554"/>
    </row>
    <row r="13" spans="1:18" ht="25.5" customHeight="1">
      <c r="A13" s="49"/>
      <c r="B13" s="49"/>
      <c r="C13" s="49"/>
      <c r="D13" s="49"/>
      <c r="E13" s="49"/>
      <c r="F13" s="49"/>
      <c r="G13" s="49"/>
      <c r="H13" s="50"/>
      <c r="I13" s="50"/>
      <c r="J13" s="57"/>
      <c r="K13" s="50"/>
      <c r="L13" s="554">
        <f>IF('Page 2'!J47=0,"",IF('Page 1'!H33&lt;('Page 9'!F23+'[3]Food Service AFR'!E10+'[3]Food Service AFR'!E11),"Federal Revenues on Page 1 should be greater than or equal to Federal Revenues for projects 1100-1399 on Page 9 and the Federal Revenues reported on the Food Service AFR, lines 4 &amp; 5.",""))</f>
      </c>
      <c r="M13" s="554"/>
      <c r="N13" s="554"/>
      <c r="O13" s="554"/>
      <c r="P13" s="554"/>
      <c r="Q13" s="554"/>
      <c r="R13" s="554"/>
    </row>
    <row r="14" spans="1:18" ht="26.25" customHeight="1">
      <c r="A14" s="49"/>
      <c r="B14" s="534" t="s">
        <v>507</v>
      </c>
      <c r="C14" s="535"/>
      <c r="D14" s="535"/>
      <c r="E14" s="535"/>
      <c r="F14" s="535"/>
      <c r="G14" s="535"/>
      <c r="H14" s="535"/>
      <c r="I14" s="535"/>
      <c r="J14" s="57"/>
      <c r="K14" s="50"/>
      <c r="L14" s="558">
        <f>IF('Page 2'!J47=0,"",IF(OR('Page 7'!G14="",'Page 7'!G15="",'Page 7'!G16="",'Page 7'!G17="",'Page 7'!G18=""),"Page 7, Section C is not complete.  If no capital acquisitions were made, please enter a 0 value for each line.",""))</f>
      </c>
      <c r="M14" s="558"/>
      <c r="N14" s="558"/>
      <c r="O14" s="558"/>
      <c r="P14" s="558"/>
      <c r="Q14" s="558"/>
      <c r="R14" s="558"/>
    </row>
    <row r="15" spans="10:18" ht="12.75" customHeight="1">
      <c r="J15" s="492"/>
      <c r="K15" s="50"/>
      <c r="L15" s="554">
        <f>IF('Page 2'!J47=0,"",IF(OR('Page 10'!D38="",'Page 10'!D39="",'Page 10'!D40="",'Page 10'!D41=""),"Page 10, Property Disbursements by Type Table is not complete. If no disbursements made, please enter a 0 value as this information is needed for NPEFS reporting.",""))</f>
      </c>
      <c r="M15" s="554"/>
      <c r="N15" s="554"/>
      <c r="O15" s="554"/>
      <c r="P15" s="554"/>
      <c r="Q15" s="554"/>
      <c r="R15" s="554"/>
    </row>
    <row r="16" spans="1:20" ht="12.75" customHeight="1">
      <c r="A16" s="49"/>
      <c r="B16" s="49"/>
      <c r="C16" s="49"/>
      <c r="D16" s="49"/>
      <c r="E16" s="49"/>
      <c r="F16" s="49"/>
      <c r="G16" s="49"/>
      <c r="H16" s="50"/>
      <c r="I16" s="50"/>
      <c r="J16" s="57"/>
      <c r="K16" s="50"/>
      <c r="L16" s="554"/>
      <c r="M16" s="554"/>
      <c r="N16" s="554"/>
      <c r="O16" s="554"/>
      <c r="P16" s="554"/>
      <c r="Q16" s="554"/>
      <c r="R16" s="554"/>
      <c r="S16" s="49"/>
      <c r="T16" s="49"/>
    </row>
    <row r="17" spans="1:20" ht="12.75" customHeight="1">
      <c r="A17" s="49"/>
      <c r="B17" s="50"/>
      <c r="C17" s="50"/>
      <c r="D17" s="50"/>
      <c r="E17" s="50"/>
      <c r="F17" s="50"/>
      <c r="G17" s="50"/>
      <c r="H17" s="50"/>
      <c r="I17" s="50"/>
      <c r="J17" s="57"/>
      <c r="K17" s="50"/>
      <c r="L17" s="554">
        <f>IF('Page 2'!J47=0,"",IF(SUM('Page 4'!F33:H33)+SUM('Page 5'!F16)+SUM('Page 6'!G8)+SUM('Page 6'!G30)&gt;'Page 1'!H22,"Page 1, line 16. 3200-Restricted revenues should be greater than or equal to total revenue amounts on Pages 4-6 for CSP, IIP, SEIP and CIP.",""))</f>
      </c>
      <c r="M17" s="554"/>
      <c r="N17" s="554"/>
      <c r="O17" s="554"/>
      <c r="P17" s="554"/>
      <c r="Q17" s="554"/>
      <c r="R17" s="554"/>
      <c r="S17" s="53"/>
      <c r="T17" s="53"/>
    </row>
    <row r="18" spans="1:20" ht="12.75" customHeight="1">
      <c r="A18" s="528"/>
      <c r="B18" s="528"/>
      <c r="C18" s="528"/>
      <c r="D18" s="528"/>
      <c r="E18" s="528"/>
      <c r="F18" s="58"/>
      <c r="G18" s="529"/>
      <c r="H18" s="529"/>
      <c r="I18" s="529"/>
      <c r="J18" s="57"/>
      <c r="L18" s="554"/>
      <c r="M18" s="554"/>
      <c r="N18" s="554"/>
      <c r="O18" s="554"/>
      <c r="P18" s="554"/>
      <c r="Q18" s="554"/>
      <c r="R18" s="554"/>
      <c r="S18" s="58"/>
      <c r="T18" s="58"/>
    </row>
    <row r="19" spans="1:20" ht="12.75" customHeight="1">
      <c r="A19" s="49"/>
      <c r="B19" s="49"/>
      <c r="C19" s="49"/>
      <c r="D19" s="49"/>
      <c r="E19" s="49"/>
      <c r="F19" s="49"/>
      <c r="G19" s="49"/>
      <c r="H19" s="59"/>
      <c r="I19" s="59"/>
      <c r="J19" s="56"/>
      <c r="L19" s="544" t="s">
        <v>471</v>
      </c>
      <c r="M19" s="545"/>
      <c r="N19" s="545"/>
      <c r="O19" s="545"/>
      <c r="P19" s="545"/>
      <c r="Q19" s="545"/>
      <c r="R19" s="545"/>
      <c r="S19" s="58"/>
      <c r="T19" s="58"/>
    </row>
    <row r="20" spans="1:18" ht="12.75" customHeight="1">
      <c r="A20" s="528"/>
      <c r="B20" s="528"/>
      <c r="C20" s="528"/>
      <c r="D20" s="528"/>
      <c r="E20" s="528"/>
      <c r="F20" s="58"/>
      <c r="G20" s="529"/>
      <c r="H20" s="529"/>
      <c r="I20" s="529"/>
      <c r="J20" s="56"/>
      <c r="L20" s="160" t="s">
        <v>466</v>
      </c>
      <c r="N20" s="66">
        <v>43388</v>
      </c>
      <c r="O20" s="547" t="s">
        <v>121</v>
      </c>
      <c r="P20" s="547"/>
      <c r="Q20" s="547"/>
      <c r="R20" s="547"/>
    </row>
    <row r="21" spans="1:18" ht="12.75" customHeight="1">
      <c r="A21" s="61"/>
      <c r="B21" s="61"/>
      <c r="C21" s="61"/>
      <c r="D21" s="61"/>
      <c r="E21" s="61"/>
      <c r="F21" s="49"/>
      <c r="G21" s="61"/>
      <c r="H21" s="50"/>
      <c r="I21" s="50"/>
      <c r="J21" s="56"/>
      <c r="L21" s="546" t="s">
        <v>122</v>
      </c>
      <c r="M21" s="546"/>
      <c r="N21" s="546"/>
      <c r="O21" s="60"/>
      <c r="P21" s="60"/>
      <c r="Q21" s="60"/>
      <c r="R21" s="60"/>
    </row>
    <row r="22" spans="1:18" ht="12.75" customHeight="1">
      <c r="A22" s="528"/>
      <c r="B22" s="528"/>
      <c r="C22" s="528"/>
      <c r="D22" s="528"/>
      <c r="E22" s="528"/>
      <c r="F22" s="58"/>
      <c r="G22" s="529"/>
      <c r="H22" s="529"/>
      <c r="I22" s="529"/>
      <c r="J22" s="56"/>
      <c r="L22" s="53"/>
      <c r="M22" s="60"/>
      <c r="N22" s="60"/>
      <c r="O22" s="60"/>
      <c r="P22" s="60"/>
      <c r="Q22" s="60"/>
      <c r="R22" s="60"/>
    </row>
    <row r="23" spans="1:18" ht="12.75" customHeight="1">
      <c r="A23" s="61"/>
      <c r="B23" s="61"/>
      <c r="C23" s="61"/>
      <c r="D23" s="61"/>
      <c r="E23" s="61"/>
      <c r="F23" s="49"/>
      <c r="G23" s="61"/>
      <c r="H23" s="50"/>
      <c r="I23" s="50"/>
      <c r="J23" s="57"/>
      <c r="L23" s="528"/>
      <c r="M23" s="528"/>
      <c r="N23" s="528"/>
      <c r="O23" s="53"/>
      <c r="P23" s="552" t="s">
        <v>523</v>
      </c>
      <c r="Q23" s="529"/>
      <c r="R23" s="529"/>
    </row>
    <row r="24" spans="1:18" ht="12.75" customHeight="1">
      <c r="A24" s="528"/>
      <c r="B24" s="528"/>
      <c r="C24" s="528"/>
      <c r="D24" s="528"/>
      <c r="E24" s="528"/>
      <c r="F24" s="58"/>
      <c r="G24" s="529"/>
      <c r="H24" s="529"/>
      <c r="I24" s="529"/>
      <c r="J24" s="57"/>
      <c r="L24" s="527" t="s">
        <v>387</v>
      </c>
      <c r="M24" s="551"/>
      <c r="N24" s="551"/>
      <c r="O24" s="53"/>
      <c r="P24" s="551" t="s">
        <v>264</v>
      </c>
      <c r="Q24" s="551"/>
      <c r="R24" s="551"/>
    </row>
    <row r="25" spans="1:18" ht="12.75" customHeight="1">
      <c r="A25" s="49"/>
      <c r="B25" s="49"/>
      <c r="C25" s="49"/>
      <c r="D25" s="59"/>
      <c r="E25" s="59"/>
      <c r="F25" s="59"/>
      <c r="G25" s="59"/>
      <c r="H25" s="63"/>
      <c r="I25" s="63"/>
      <c r="J25" s="57"/>
      <c r="L25" s="526" t="s">
        <v>521</v>
      </c>
      <c r="M25" s="526"/>
      <c r="N25" s="526"/>
      <c r="O25" s="49"/>
      <c r="P25" s="49"/>
      <c r="Q25" s="49"/>
      <c r="R25" s="49"/>
    </row>
    <row r="26" spans="1:14" s="53" customFormat="1" ht="12.75" customHeight="1">
      <c r="A26" s="528"/>
      <c r="B26" s="528"/>
      <c r="C26" s="528"/>
      <c r="D26" s="528"/>
      <c r="E26" s="528"/>
      <c r="F26" s="58"/>
      <c r="G26" s="529"/>
      <c r="H26" s="529"/>
      <c r="I26" s="529"/>
      <c r="J26" s="57"/>
      <c r="L26" s="527" t="s">
        <v>407</v>
      </c>
      <c r="M26" s="551"/>
      <c r="N26" s="551"/>
    </row>
    <row r="27" spans="1:18" s="53" customFormat="1" ht="12.75" customHeight="1">
      <c r="A27" s="49"/>
      <c r="B27" s="49"/>
      <c r="C27" s="49"/>
      <c r="D27" s="59"/>
      <c r="E27" s="59"/>
      <c r="F27" s="59"/>
      <c r="G27" s="59"/>
      <c r="H27" s="63"/>
      <c r="I27" s="63"/>
      <c r="J27" s="62"/>
      <c r="L27" s="531"/>
      <c r="M27" s="531"/>
      <c r="N27" s="531"/>
      <c r="O27" s="496"/>
      <c r="P27" s="555"/>
      <c r="Q27" s="555"/>
      <c r="R27" s="555"/>
    </row>
    <row r="28" spans="1:18" s="53" customFormat="1" ht="12.75" customHeight="1">
      <c r="A28" s="528"/>
      <c r="B28" s="528"/>
      <c r="C28" s="528"/>
      <c r="D28" s="528"/>
      <c r="E28" s="528"/>
      <c r="F28" s="58"/>
      <c r="G28" s="529"/>
      <c r="H28" s="529"/>
      <c r="I28" s="529"/>
      <c r="J28" s="62"/>
      <c r="L28" s="528"/>
      <c r="M28" s="528"/>
      <c r="N28" s="528"/>
      <c r="P28" s="552" t="s">
        <v>524</v>
      </c>
      <c r="Q28" s="529"/>
      <c r="R28" s="529"/>
    </row>
    <row r="29" spans="4:18" s="49" customFormat="1" ht="12.75" customHeight="1">
      <c r="D29" s="59"/>
      <c r="E29" s="59"/>
      <c r="F29" s="59"/>
      <c r="G29" s="59"/>
      <c r="H29" s="63"/>
      <c r="I29" s="63"/>
      <c r="J29" s="62"/>
      <c r="K29" s="53"/>
      <c r="L29" s="527" t="s">
        <v>387</v>
      </c>
      <c r="M29" s="527"/>
      <c r="N29" s="527"/>
      <c r="O29" s="53"/>
      <c r="P29" s="551" t="s">
        <v>264</v>
      </c>
      <c r="Q29" s="551"/>
      <c r="R29" s="551"/>
    </row>
    <row r="30" spans="1:19" s="53" customFormat="1" ht="12.75" customHeight="1">
      <c r="A30" s="528"/>
      <c r="B30" s="528"/>
      <c r="C30" s="528"/>
      <c r="D30" s="528"/>
      <c r="E30" s="528"/>
      <c r="F30" s="58"/>
      <c r="G30" s="529"/>
      <c r="H30" s="529"/>
      <c r="I30" s="529"/>
      <c r="J30" s="63"/>
      <c r="K30" s="498"/>
      <c r="L30" s="553" t="s">
        <v>522</v>
      </c>
      <c r="M30" s="553"/>
      <c r="N30" s="553"/>
      <c r="O30" s="49"/>
      <c r="P30" s="49"/>
      <c r="Q30" s="49"/>
      <c r="R30" s="49"/>
      <c r="S30" s="497"/>
    </row>
    <row r="31" spans="1:19" s="49" customFormat="1" ht="26.25" customHeight="1">
      <c r="A31" s="530" t="s">
        <v>119</v>
      </c>
      <c r="B31" s="530"/>
      <c r="C31" s="530"/>
      <c r="D31" s="530"/>
      <c r="E31" s="530"/>
      <c r="F31" s="58"/>
      <c r="G31" s="530" t="s">
        <v>2</v>
      </c>
      <c r="H31" s="530"/>
      <c r="I31" s="530"/>
      <c r="J31" s="62"/>
      <c r="K31" s="498"/>
      <c r="L31" s="527" t="s">
        <v>407</v>
      </c>
      <c r="M31" s="527"/>
      <c r="N31" s="527"/>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435</v>
      </c>
      <c r="M33" s="160"/>
      <c r="N33" s="160"/>
      <c r="O33" s="160"/>
      <c r="P33" s="157" t="s">
        <v>52</v>
      </c>
      <c r="Q33" s="548">
        <f>TotExpSchoolwide</f>
        <v>1279257</v>
      </c>
      <c r="R33" s="549"/>
    </row>
    <row r="34" spans="10:18" s="53" customFormat="1" ht="12.75" customHeight="1">
      <c r="J34" s="57"/>
      <c r="L34" s="160" t="s">
        <v>436</v>
      </c>
      <c r="M34" s="160"/>
      <c r="N34" s="160"/>
      <c r="O34" s="160"/>
      <c r="P34" s="157" t="s">
        <v>52</v>
      </c>
      <c r="Q34" s="542">
        <f>SP1000ClassSiteProj</f>
        <v>82250</v>
      </c>
      <c r="R34" s="543"/>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formatCells="0" formatColumns="0" formatRows="0"/>
  <mergeCells count="57">
    <mergeCell ref="L9:R10"/>
    <mergeCell ref="L17:R18"/>
    <mergeCell ref="L13:R13"/>
    <mergeCell ref="L3:R4"/>
    <mergeCell ref="L5:R6"/>
    <mergeCell ref="L7:R7"/>
    <mergeCell ref="L8:R8"/>
    <mergeCell ref="L11:R12"/>
    <mergeCell ref="L14:R14"/>
    <mergeCell ref="L28:N28"/>
    <mergeCell ref="L15:R16"/>
    <mergeCell ref="L26:N26"/>
    <mergeCell ref="L24:N24"/>
    <mergeCell ref="P23:R23"/>
    <mergeCell ref="P24:R24"/>
    <mergeCell ref="P27:R27"/>
    <mergeCell ref="A22:E22"/>
    <mergeCell ref="G22:I22"/>
    <mergeCell ref="G26:I26"/>
    <mergeCell ref="A24:E24"/>
    <mergeCell ref="G24:I24"/>
    <mergeCell ref="A26:E26"/>
    <mergeCell ref="Q34:R34"/>
    <mergeCell ref="L19:R19"/>
    <mergeCell ref="L21:N21"/>
    <mergeCell ref="O20:R20"/>
    <mergeCell ref="Q33:R33"/>
    <mergeCell ref="M1:N1"/>
    <mergeCell ref="L2:R2"/>
    <mergeCell ref="P29:R29"/>
    <mergeCell ref="P28:R28"/>
    <mergeCell ref="L30:N30"/>
    <mergeCell ref="B6:I6"/>
    <mergeCell ref="D2:I2"/>
    <mergeCell ref="D3:I3"/>
    <mergeCell ref="D4:I4"/>
    <mergeCell ref="A1:C1"/>
    <mergeCell ref="D1:I1"/>
    <mergeCell ref="B8:I8"/>
    <mergeCell ref="B10:I10"/>
    <mergeCell ref="B14:I14"/>
    <mergeCell ref="A20:E20"/>
    <mergeCell ref="G20:I20"/>
    <mergeCell ref="A18:E18"/>
    <mergeCell ref="A11:J11"/>
    <mergeCell ref="G18:I18"/>
    <mergeCell ref="A12:J12"/>
    <mergeCell ref="L31:N31"/>
    <mergeCell ref="A30:E30"/>
    <mergeCell ref="G30:I30"/>
    <mergeCell ref="L23:N23"/>
    <mergeCell ref="A31:E31"/>
    <mergeCell ref="L27:N27"/>
    <mergeCell ref="G31:I31"/>
    <mergeCell ref="A28:E28"/>
    <mergeCell ref="L29:N29"/>
    <mergeCell ref="G28:I28"/>
  </mergeCells>
  <conditionalFormatting sqref="L5 L13 L2:L3 L7:L9 L11 A11 A12">
    <cfRule type="expression" priority="10" dxfId="0" stopIfTrue="1">
      <formula>A2&lt;&gt;""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hyperlinks>
    <hyperlink ref="P23" r:id="rId1" display="steve@scds.com"/>
    <hyperlink ref="P28" r:id="rId2" display="cdouglas@adibiz.com"/>
  </hyperlinks>
  <printOptions horizontalCentered="1"/>
  <pageMargins left="0.75" right="0.75" top="0.75" bottom="0.75" header="0.5" footer="0.5"/>
  <pageSetup fitToHeight="1" fitToWidth="1" horizontalDpi="600" verticalDpi="600" orientation="landscape" scale="76" r:id="rId4"/>
  <headerFooter alignWithMargins="0">
    <oddFooter>&amp;LRev. 8/18&amp;CFY 2018</oddFooter>
  </headerFooter>
  <ignoredErrors>
    <ignoredError sqref="L17" formulaRange="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tabSelected="1" workbookViewId="0" topLeftCell="A13">
      <selection activeCell="E22" sqref="E22"/>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65" t="str">
        <f>'Cover Page'!D1</f>
        <v>SCOTTSDALE COUNTRY DAY SCHOOL</v>
      </c>
      <c r="C1" s="565"/>
      <c r="D1" s="565"/>
      <c r="E1" s="2"/>
      <c r="F1" s="4" t="s">
        <v>1</v>
      </c>
      <c r="G1" s="565" t="str">
        <f>'Cover Page'!M1</f>
        <v>MARICOPA </v>
      </c>
      <c r="H1" s="565"/>
      <c r="K1" s="4" t="s">
        <v>138</v>
      </c>
      <c r="L1" s="244" t="str">
        <f>'Cover Page'!R1</f>
        <v>078243000</v>
      </c>
    </row>
    <row r="2" ht="12.75"/>
    <row r="3" spans="1:12" ht="12.75">
      <c r="A3" s="677" t="s">
        <v>126</v>
      </c>
      <c r="B3" s="677"/>
      <c r="C3" s="677"/>
      <c r="D3" s="678"/>
      <c r="E3" s="29" t="s">
        <v>91</v>
      </c>
      <c r="F3" s="29"/>
      <c r="G3" s="29" t="s">
        <v>96</v>
      </c>
      <c r="H3" s="29"/>
      <c r="I3" s="30"/>
      <c r="J3" s="31"/>
      <c r="K3" s="29" t="s">
        <v>93</v>
      </c>
      <c r="L3" s="29" t="s">
        <v>95</v>
      </c>
    </row>
    <row r="4" spans="5:12" ht="12.75">
      <c r="E4" s="225" t="s">
        <v>92</v>
      </c>
      <c r="F4" s="225" t="s">
        <v>68</v>
      </c>
      <c r="G4" s="225" t="s">
        <v>97</v>
      </c>
      <c r="H4" s="225" t="s">
        <v>98</v>
      </c>
      <c r="I4" s="679" t="s">
        <v>85</v>
      </c>
      <c r="J4" s="680"/>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0</v>
      </c>
      <c r="F6" s="67"/>
      <c r="G6" s="17"/>
      <c r="H6" s="17"/>
      <c r="I6" s="182">
        <f>[2]!FP11001130TitleI</f>
        <v>0</v>
      </c>
      <c r="J6" s="17"/>
      <c r="K6" s="17"/>
      <c r="L6" s="23">
        <f>SUM(E6+F6-G6-H6-J6-K6)</f>
        <v>0</v>
      </c>
      <c r="M6" s="3" t="s">
        <v>6</v>
      </c>
    </row>
    <row r="7" spans="1:13" ht="12.75">
      <c r="A7" s="3" t="s">
        <v>309</v>
      </c>
      <c r="D7" s="10" t="s">
        <v>7</v>
      </c>
      <c r="E7" s="77">
        <f>[1]!FP11401150EndBal</f>
        <v>0</v>
      </c>
      <c r="F7" s="17"/>
      <c r="G7" s="17"/>
      <c r="H7" s="17"/>
      <c r="I7" s="182">
        <f>[2]!FP11401150TitleII</f>
        <v>0</v>
      </c>
      <c r="J7" s="17"/>
      <c r="K7" s="17"/>
      <c r="L7" s="23">
        <f aca="true" t="shared" si="0" ref="L7:L23">SUM(E7+F7-G7-H7-J7-K7)</f>
        <v>0</v>
      </c>
      <c r="M7" s="3" t="s">
        <v>7</v>
      </c>
    </row>
    <row r="8" spans="1:13" ht="12.75">
      <c r="A8" s="3" t="s">
        <v>166</v>
      </c>
      <c r="D8" s="10" t="s">
        <v>8</v>
      </c>
      <c r="E8" s="77">
        <f>[1]!FP1160EndBal</f>
        <v>0</v>
      </c>
      <c r="F8" s="17"/>
      <c r="G8" s="17"/>
      <c r="H8" s="17"/>
      <c r="I8" s="182">
        <f>[2]!FP1160TitleIV</f>
        <v>0</v>
      </c>
      <c r="J8" s="17"/>
      <c r="K8" s="17"/>
      <c r="L8" s="23">
        <f t="shared" si="0"/>
        <v>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0</v>
      </c>
      <c r="F10" s="17"/>
      <c r="G10" s="17"/>
      <c r="H10" s="17"/>
      <c r="I10" s="182">
        <f>[2]!FP1190TitleIII</f>
        <v>0</v>
      </c>
      <c r="J10" s="17"/>
      <c r="K10" s="17"/>
      <c r="L10" s="23">
        <f t="shared" si="0"/>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v>0</v>
      </c>
      <c r="F13" s="17">
        <v>17031</v>
      </c>
      <c r="G13" s="17"/>
      <c r="H13" s="17"/>
      <c r="I13" s="182">
        <f>[2]!FP1220IDEA</f>
        <v>16862</v>
      </c>
      <c r="J13" s="17">
        <v>17031</v>
      </c>
      <c r="K13" s="17"/>
      <c r="L13" s="23">
        <f t="shared" si="0"/>
        <v>0</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393</v>
      </c>
      <c r="B21" s="452"/>
      <c r="C21" s="452"/>
      <c r="D21" s="504" t="s">
        <v>23</v>
      </c>
      <c r="E21" s="467">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0</v>
      </c>
      <c r="F22" s="68"/>
      <c r="G22" s="68"/>
      <c r="H22" s="68"/>
      <c r="I22" s="254">
        <f>[2]!FP13101399Other</f>
        <v>0</v>
      </c>
      <c r="J22" s="68"/>
      <c r="K22" s="68"/>
      <c r="L22" s="274">
        <f t="shared" si="0"/>
        <v>0</v>
      </c>
      <c r="M22" s="24" t="s">
        <v>24</v>
      </c>
    </row>
    <row r="23" spans="1:13" ht="13.5" thickBot="1">
      <c r="A23" s="3" t="s">
        <v>394</v>
      </c>
      <c r="D23" s="65" t="s">
        <v>26</v>
      </c>
      <c r="E23" s="446">
        <f>SUM(E6:E22)</f>
        <v>0</v>
      </c>
      <c r="F23" s="28">
        <f aca="true" t="shared" si="1" ref="F23:K23">SUM(F6:F22)</f>
        <v>17031</v>
      </c>
      <c r="G23" s="28">
        <f t="shared" si="1"/>
        <v>0</v>
      </c>
      <c r="H23" s="28">
        <f t="shared" si="1"/>
        <v>0</v>
      </c>
      <c r="I23" s="255">
        <f t="shared" si="1"/>
        <v>16862</v>
      </c>
      <c r="J23" s="28">
        <f t="shared" si="1"/>
        <v>17031</v>
      </c>
      <c r="K23" s="28">
        <f t="shared" si="1"/>
        <v>0</v>
      </c>
      <c r="L23" s="28">
        <f t="shared" si="0"/>
        <v>0</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7">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ustomHeight="1">
      <c r="A32" s="3" t="s">
        <v>473</v>
      </c>
      <c r="D32" s="65" t="s">
        <v>78</v>
      </c>
      <c r="E32" s="33"/>
      <c r="F32" s="17"/>
      <c r="G32" s="33"/>
      <c r="H32" s="17"/>
      <c r="I32" s="182">
        <v>0</v>
      </c>
      <c r="J32" s="17"/>
      <c r="K32" s="17"/>
      <c r="L32" s="23">
        <f t="shared" si="2"/>
        <v>0</v>
      </c>
      <c r="M32" s="24" t="s">
        <v>78</v>
      </c>
    </row>
    <row r="33" spans="1:13" ht="12.75" customHeight="1">
      <c r="A33" s="3" t="s">
        <v>495</v>
      </c>
      <c r="D33" s="65" t="s">
        <v>79</v>
      </c>
      <c r="E33" s="33"/>
      <c r="F33" s="17"/>
      <c r="G33" s="33"/>
      <c r="H33" s="17"/>
      <c r="I33" s="182">
        <v>0</v>
      </c>
      <c r="J33" s="17"/>
      <c r="K33" s="17"/>
      <c r="L33" s="23">
        <f t="shared" si="2"/>
        <v>0</v>
      </c>
      <c r="M33" s="24" t="s">
        <v>79</v>
      </c>
    </row>
    <row r="34" spans="1:13" ht="12.75">
      <c r="A34" s="3" t="s">
        <v>80</v>
      </c>
      <c r="D34" s="65" t="s">
        <v>81</v>
      </c>
      <c r="E34" s="182">
        <f>[1]!StP1460EndBal</f>
        <v>0</v>
      </c>
      <c r="F34" s="17"/>
      <c r="G34" s="369"/>
      <c r="H34" s="17"/>
      <c r="I34" s="182">
        <f>[2]!SP1460EnvironmentalSpecialPlate</f>
        <v>0</v>
      </c>
      <c r="J34" s="17"/>
      <c r="K34" s="17"/>
      <c r="L34" s="23">
        <f t="shared" si="2"/>
        <v>0</v>
      </c>
      <c r="M34" s="24" t="s">
        <v>81</v>
      </c>
    </row>
    <row r="35" spans="1:13" ht="12.75" customHeight="1">
      <c r="A35" s="3" t="s">
        <v>112</v>
      </c>
      <c r="D35" s="256" t="s">
        <v>82</v>
      </c>
      <c r="E35" s="182">
        <f>[1]!StP1465EndBal</f>
        <v>0</v>
      </c>
      <c r="F35" s="18"/>
      <c r="G35" s="34"/>
      <c r="H35" s="18"/>
      <c r="I35" s="182">
        <f>[2]!SP1465CharterSchool</f>
        <v>0</v>
      </c>
      <c r="J35" s="18"/>
      <c r="K35" s="18"/>
      <c r="L35" s="23">
        <f t="shared" si="2"/>
        <v>0</v>
      </c>
      <c r="M35" s="24" t="s">
        <v>82</v>
      </c>
    </row>
    <row r="36" spans="1:14" ht="12.75" customHeight="1" thickBot="1">
      <c r="A36" s="47" t="s">
        <v>111</v>
      </c>
      <c r="B36" s="47"/>
      <c r="C36" s="47"/>
      <c r="D36" s="256" t="s">
        <v>83</v>
      </c>
      <c r="E36" s="254">
        <f>[1]!StP14701499EndBal</f>
        <v>0</v>
      </c>
      <c r="F36" s="68"/>
      <c r="G36" s="278"/>
      <c r="H36" s="68"/>
      <c r="I36" s="254">
        <f>[2]!SP14701499Other</f>
        <v>0</v>
      </c>
      <c r="J36" s="68"/>
      <c r="K36" s="68"/>
      <c r="L36" s="274">
        <f t="shared" si="2"/>
        <v>0</v>
      </c>
      <c r="M36" s="253" t="s">
        <v>83</v>
      </c>
      <c r="N36" s="47"/>
    </row>
    <row r="37" spans="1:14" ht="13.5" thickBot="1">
      <c r="A37" s="47" t="s">
        <v>474</v>
      </c>
      <c r="B37" s="47"/>
      <c r="C37" s="47"/>
      <c r="D37" s="256" t="s">
        <v>84</v>
      </c>
      <c r="E37" s="179">
        <f>SUM(E25:E36)</f>
        <v>0</v>
      </c>
      <c r="F37" s="179">
        <f>SUM(F25:F36)</f>
        <v>0</v>
      </c>
      <c r="G37" s="277"/>
      <c r="H37" s="179">
        <f>SUM(H25:H36)</f>
        <v>0</v>
      </c>
      <c r="I37" s="255">
        <f>SUM(I25:I36)</f>
        <v>0</v>
      </c>
      <c r="J37" s="179">
        <f>SUM(J25:J36)</f>
        <v>0</v>
      </c>
      <c r="K37" s="179">
        <f>SUM(K25:K36)</f>
        <v>0</v>
      </c>
      <c r="L37" s="179">
        <f t="shared" si="2"/>
        <v>0</v>
      </c>
      <c r="M37" s="253" t="s">
        <v>84</v>
      </c>
      <c r="N37" s="47"/>
    </row>
    <row r="38" spans="1:14" ht="13.5" thickTop="1">
      <c r="A38" s="47"/>
      <c r="B38" s="47"/>
      <c r="C38" s="47"/>
      <c r="D38" s="256"/>
      <c r="E38" s="180"/>
      <c r="F38" s="180"/>
      <c r="G38" s="180"/>
      <c r="H38" s="180"/>
      <c r="I38" s="242"/>
      <c r="J38" s="180"/>
      <c r="K38" s="180"/>
      <c r="L38" s="180"/>
      <c r="M38" s="253"/>
      <c r="N38" s="47"/>
    </row>
    <row r="39" spans="1:14" ht="13.5" thickBot="1">
      <c r="A39" s="452" t="s">
        <v>475</v>
      </c>
      <c r="B39" s="452"/>
      <c r="C39" s="452"/>
      <c r="D39" s="256" t="s">
        <v>87</v>
      </c>
      <c r="E39" s="181">
        <f>SUM(E23+E37)</f>
        <v>0</v>
      </c>
      <c r="F39" s="181">
        <f>SUM(F23+F37)</f>
        <v>17031</v>
      </c>
      <c r="G39" s="181">
        <f>G23</f>
        <v>0</v>
      </c>
      <c r="H39" s="181">
        <f>SUM(H23+H37)</f>
        <v>0</v>
      </c>
      <c r="I39" s="275">
        <f>SUM(I23+I37)</f>
        <v>16862</v>
      </c>
      <c r="J39" s="181">
        <f>SUM(J23+J37)</f>
        <v>17031</v>
      </c>
      <c r="K39" s="181">
        <f>SUM(K23+K37)</f>
        <v>0</v>
      </c>
      <c r="L39" s="181">
        <f>SUM(E39+F39-G39-H39-J39-K39)</f>
        <v>0</v>
      </c>
      <c r="M39" s="253" t="s">
        <v>87</v>
      </c>
      <c r="N39" s="47"/>
    </row>
    <row r="40" spans="1:14" ht="13.5" thickTop="1">
      <c r="A40" s="47"/>
      <c r="B40" s="47"/>
      <c r="C40" s="47"/>
      <c r="D40" s="48"/>
      <c r="E40" s="47"/>
      <c r="F40" s="47"/>
      <c r="G40" s="47"/>
      <c r="H40" s="47"/>
      <c r="I40" s="47"/>
      <c r="J40" s="47"/>
      <c r="K40" s="47"/>
      <c r="L40" s="47"/>
      <c r="M40" s="47"/>
      <c r="N40"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9:C39" location="FederalAndStateProjectsPage9Line30" display="     Total Federal and State Projects (lines 17 and 29)"/>
    <hyperlink ref="A21:C22" location="ImpactAidandOtherFederalProjects" display="13__ Impact Aid"/>
  </hyperlinks>
  <printOptions horizontalCentered="1"/>
  <pageMargins left="0.75" right="0.75" top="0.75" bottom="0.75" header="0.5" footer="0.5"/>
  <pageSetup fitToHeight="1" fitToWidth="1" horizontalDpi="600" verticalDpi="600" orientation="landscape" scale="79" r:id="rId2"/>
  <headerFooter alignWithMargins="0">
    <oddFooter>&amp;LRev. 8/18&amp;CFY 2018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0"/>
  <sheetViews>
    <sheetView showGridLines="0" workbookViewId="0" topLeftCell="A4">
      <selection activeCell="D24" sqref="D24:J24"/>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SCOTTSDALE COUNTRY DAY SCHOOL</v>
      </c>
      <c r="C1" s="22"/>
      <c r="D1" s="2"/>
      <c r="E1" s="4" t="s">
        <v>1</v>
      </c>
      <c r="F1" s="565" t="str">
        <f>'Cover Page'!M1</f>
        <v>MARICOPA </v>
      </c>
      <c r="G1" s="565"/>
      <c r="H1" s="20"/>
      <c r="I1" s="4"/>
      <c r="J1" s="4" t="s">
        <v>138</v>
      </c>
      <c r="K1" s="244" t="str">
        <f>'Cover Page'!R1</f>
        <v>078243000</v>
      </c>
      <c r="L1" s="385"/>
      <c r="M1" s="386"/>
      <c r="N1" s="686"/>
      <c r="O1" s="686"/>
      <c r="P1" s="4"/>
      <c r="Q1" s="686"/>
      <c r="R1" s="687"/>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93" t="s">
        <v>315</v>
      </c>
      <c r="D4" s="693"/>
      <c r="E4" s="693"/>
      <c r="F4" s="693"/>
      <c r="G4" s="693"/>
      <c r="H4" s="693"/>
      <c r="I4" s="693"/>
      <c r="J4" s="693"/>
      <c r="K4" s="693"/>
      <c r="L4" s="693"/>
      <c r="M4" s="373"/>
      <c r="N4" s="373"/>
      <c r="O4" s="373"/>
      <c r="P4" s="373"/>
      <c r="Q4" s="373"/>
      <c r="R4" s="373"/>
    </row>
    <row r="5" spans="13:14" ht="12" customHeight="1">
      <c r="M5" s="424"/>
      <c r="N5" s="424"/>
    </row>
    <row r="6" spans="1:16" ht="12" customHeight="1">
      <c r="A6" s="387"/>
      <c r="B6" s="387"/>
      <c r="D6" s="690" t="s">
        <v>312</v>
      </c>
      <c r="E6" s="691"/>
      <c r="F6" s="691"/>
      <c r="G6" s="691"/>
      <c r="H6" s="691"/>
      <c r="I6" s="691"/>
      <c r="J6" s="691"/>
      <c r="K6" s="692"/>
      <c r="L6" s="388"/>
      <c r="M6" s="425"/>
      <c r="N6" s="425"/>
      <c r="O6" s="389"/>
      <c r="P6" s="689"/>
    </row>
    <row r="7" spans="4:17" ht="12" customHeight="1">
      <c r="D7" s="390"/>
      <c r="E7" s="391"/>
      <c r="F7" s="391" t="s">
        <v>313</v>
      </c>
      <c r="G7" s="391"/>
      <c r="H7" s="391"/>
      <c r="I7" s="392"/>
      <c r="J7" s="397" t="s">
        <v>200</v>
      </c>
      <c r="K7" s="487"/>
      <c r="L7" s="393"/>
      <c r="M7" s="426"/>
      <c r="N7" s="427"/>
      <c r="O7" s="394"/>
      <c r="P7" s="689"/>
      <c r="Q7" s="375"/>
    </row>
    <row r="8" spans="4:17" ht="12" customHeight="1">
      <c r="D8" s="395"/>
      <c r="E8" s="396" t="s">
        <v>218</v>
      </c>
      <c r="F8" s="396" t="s">
        <v>189</v>
      </c>
      <c r="G8" s="396"/>
      <c r="H8" s="397" t="s">
        <v>318</v>
      </c>
      <c r="I8" s="397"/>
      <c r="J8" s="397" t="s">
        <v>398</v>
      </c>
      <c r="K8" s="488"/>
      <c r="L8" s="393"/>
      <c r="M8" s="426"/>
      <c r="N8" s="427"/>
      <c r="O8" s="394"/>
      <c r="P8" s="689"/>
      <c r="Q8" s="375"/>
    </row>
    <row r="9" spans="4:17" ht="12" customHeight="1">
      <c r="D9" s="396" t="s">
        <v>144</v>
      </c>
      <c r="E9" s="398" t="s">
        <v>145</v>
      </c>
      <c r="F9" s="398" t="s">
        <v>331</v>
      </c>
      <c r="G9" s="398" t="s">
        <v>159</v>
      </c>
      <c r="H9" s="397" t="s">
        <v>317</v>
      </c>
      <c r="I9" s="399" t="s">
        <v>330</v>
      </c>
      <c r="J9" s="399" t="s">
        <v>396</v>
      </c>
      <c r="K9" s="489" t="s">
        <v>335</v>
      </c>
      <c r="L9" s="393"/>
      <c r="M9" s="426"/>
      <c r="N9" s="427"/>
      <c r="O9" s="394"/>
      <c r="P9" s="689"/>
      <c r="Q9" s="376"/>
    </row>
    <row r="10" spans="1:17" ht="12" customHeight="1">
      <c r="A10" s="400" t="s">
        <v>316</v>
      </c>
      <c r="B10" s="400"/>
      <c r="D10" s="398">
        <v>6100</v>
      </c>
      <c r="E10" s="401">
        <v>6200</v>
      </c>
      <c r="F10" s="401">
        <v>6500</v>
      </c>
      <c r="G10" s="401">
        <v>6600</v>
      </c>
      <c r="H10" s="401">
        <v>6810</v>
      </c>
      <c r="I10" s="402">
        <v>6890</v>
      </c>
      <c r="J10" s="399" t="s">
        <v>397</v>
      </c>
      <c r="K10" s="490" t="s">
        <v>336</v>
      </c>
      <c r="L10" s="393"/>
      <c r="M10" s="428"/>
      <c r="N10" s="427"/>
      <c r="O10" s="394"/>
      <c r="P10" s="689"/>
      <c r="Q10" s="377"/>
    </row>
    <row r="11" spans="1:17" ht="12" customHeight="1">
      <c r="A11" s="403" t="s">
        <v>201</v>
      </c>
      <c r="B11" s="403"/>
      <c r="C11" s="404" t="s">
        <v>6</v>
      </c>
      <c r="D11" s="439">
        <v>463167</v>
      </c>
      <c r="E11" s="439">
        <v>71471</v>
      </c>
      <c r="F11" s="439">
        <v>81278</v>
      </c>
      <c r="G11" s="439">
        <v>45402</v>
      </c>
      <c r="H11" s="440">
        <v>18</v>
      </c>
      <c r="I11" s="440"/>
      <c r="J11" s="440">
        <v>4264</v>
      </c>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88"/>
      <c r="Q12" s="379"/>
    </row>
    <row r="13" spans="1:17" ht="12" customHeight="1">
      <c r="A13" s="403" t="s">
        <v>321</v>
      </c>
      <c r="B13" s="403"/>
      <c r="C13" s="404" t="s">
        <v>7</v>
      </c>
      <c r="D13" s="442">
        <v>61743</v>
      </c>
      <c r="E13" s="442">
        <v>8788</v>
      </c>
      <c r="F13" s="442">
        <v>22096</v>
      </c>
      <c r="G13" s="442">
        <v>33529</v>
      </c>
      <c r="H13" s="356"/>
      <c r="I13" s="356">
        <v>522</v>
      </c>
      <c r="J13" s="356">
        <v>7975</v>
      </c>
      <c r="K13" s="356"/>
      <c r="L13" s="379" t="s">
        <v>7</v>
      </c>
      <c r="M13" s="406"/>
      <c r="N13" s="406"/>
      <c r="O13" s="379"/>
      <c r="P13" s="688"/>
      <c r="Q13" s="379"/>
    </row>
    <row r="14" spans="1:17" ht="12" customHeight="1">
      <c r="A14" s="403" t="s">
        <v>322</v>
      </c>
      <c r="B14" s="403"/>
      <c r="C14" s="404" t="s">
        <v>8</v>
      </c>
      <c r="D14" s="439">
        <v>81330</v>
      </c>
      <c r="E14" s="439">
        <v>15999</v>
      </c>
      <c r="F14" s="439">
        <v>9253</v>
      </c>
      <c r="G14" s="439">
        <v>2339</v>
      </c>
      <c r="H14" s="440"/>
      <c r="I14" s="440"/>
      <c r="J14" s="440"/>
      <c r="K14" s="440"/>
      <c r="L14" s="379" t="s">
        <v>8</v>
      </c>
      <c r="M14" s="423"/>
      <c r="N14" s="423"/>
      <c r="O14" s="379"/>
      <c r="P14" s="378"/>
      <c r="Q14" s="379"/>
    </row>
    <row r="15" spans="1:17" ht="12" customHeight="1">
      <c r="A15" s="403" t="s">
        <v>323</v>
      </c>
      <c r="B15" s="403"/>
      <c r="C15" s="404" t="s">
        <v>9</v>
      </c>
      <c r="D15" s="439"/>
      <c r="E15" s="439"/>
      <c r="F15" s="439">
        <v>3776</v>
      </c>
      <c r="G15" s="439"/>
      <c r="H15" s="440"/>
      <c r="I15" s="440"/>
      <c r="J15" s="440"/>
      <c r="K15" s="440"/>
      <c r="L15" s="379" t="s">
        <v>9</v>
      </c>
      <c r="M15" s="423"/>
      <c r="N15" s="423"/>
      <c r="O15" s="379"/>
      <c r="P15" s="378"/>
      <c r="Q15" s="379"/>
    </row>
    <row r="16" spans="1:17" ht="12" customHeight="1">
      <c r="A16" s="407" t="s">
        <v>324</v>
      </c>
      <c r="B16" s="407"/>
      <c r="C16" s="408" t="s">
        <v>10</v>
      </c>
      <c r="D16" s="439">
        <v>68792</v>
      </c>
      <c r="E16" s="439">
        <v>10232</v>
      </c>
      <c r="F16" s="439">
        <v>12618</v>
      </c>
      <c r="G16" s="439">
        <v>15722</v>
      </c>
      <c r="H16" s="440">
        <v>563</v>
      </c>
      <c r="I16" s="440"/>
      <c r="J16" s="440"/>
      <c r="K16" s="440"/>
      <c r="L16" s="380" t="s">
        <v>10</v>
      </c>
      <c r="M16" s="423"/>
      <c r="N16" s="423"/>
      <c r="O16" s="380"/>
      <c r="P16" s="378"/>
      <c r="Q16" s="380"/>
    </row>
    <row r="17" spans="1:17" ht="12" customHeight="1">
      <c r="A17" s="409" t="s">
        <v>325</v>
      </c>
      <c r="B17" s="409"/>
      <c r="C17" s="408" t="s">
        <v>11</v>
      </c>
      <c r="D17" s="439">
        <v>51477</v>
      </c>
      <c r="E17" s="439">
        <v>7775</v>
      </c>
      <c r="F17" s="439">
        <v>40814</v>
      </c>
      <c r="G17" s="439">
        <v>553</v>
      </c>
      <c r="H17" s="440">
        <v>9840</v>
      </c>
      <c r="I17" s="440"/>
      <c r="J17" s="440">
        <f>252.96+348.6</f>
        <v>602</v>
      </c>
      <c r="K17" s="440"/>
      <c r="L17" s="380" t="s">
        <v>11</v>
      </c>
      <c r="M17" s="423"/>
      <c r="N17" s="423"/>
      <c r="O17" s="380"/>
      <c r="P17" s="378"/>
      <c r="Q17" s="380"/>
    </row>
    <row r="18" spans="1:17" ht="12" customHeight="1">
      <c r="A18" s="403" t="s">
        <v>326</v>
      </c>
      <c r="B18" s="403"/>
      <c r="C18" s="408" t="s">
        <v>12</v>
      </c>
      <c r="D18" s="439">
        <v>10000</v>
      </c>
      <c r="E18" s="439">
        <v>1943</v>
      </c>
      <c r="F18" s="439">
        <v>176493</v>
      </c>
      <c r="G18" s="439">
        <v>2642</v>
      </c>
      <c r="H18" s="440"/>
      <c r="I18" s="440"/>
      <c r="J18" s="440"/>
      <c r="K18" s="440"/>
      <c r="L18" s="380" t="s">
        <v>12</v>
      </c>
      <c r="M18" s="423"/>
      <c r="N18" s="423"/>
      <c r="O18" s="380"/>
      <c r="P18" s="378"/>
      <c r="Q18" s="380"/>
    </row>
    <row r="19" spans="1:17" ht="12" customHeight="1">
      <c r="A19" s="410" t="s">
        <v>327</v>
      </c>
      <c r="B19" s="410"/>
      <c r="C19" s="408" t="s">
        <v>14</v>
      </c>
      <c r="D19" s="439"/>
      <c r="E19" s="439"/>
      <c r="F19" s="439"/>
      <c r="G19" s="439"/>
      <c r="H19" s="440"/>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88"/>
      <c r="Q20" s="380"/>
    </row>
    <row r="21" spans="1:17" ht="12" customHeight="1">
      <c r="A21" s="410" t="s">
        <v>328</v>
      </c>
      <c r="B21" s="410"/>
      <c r="C21" s="408" t="s">
        <v>15</v>
      </c>
      <c r="D21" s="442">
        <v>18000</v>
      </c>
      <c r="E21" s="442">
        <v>2848</v>
      </c>
      <c r="F21" s="442">
        <v>1066</v>
      </c>
      <c r="G21" s="442">
        <v>19061</v>
      </c>
      <c r="H21" s="356"/>
      <c r="I21" s="356"/>
      <c r="J21" s="356"/>
      <c r="K21" s="356"/>
      <c r="L21" s="380" t="s">
        <v>15</v>
      </c>
      <c r="M21" s="406"/>
      <c r="N21" s="406"/>
      <c r="O21" s="380"/>
      <c r="P21" s="688"/>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754509</v>
      </c>
      <c r="E24" s="319">
        <f t="shared" si="0"/>
        <v>119056</v>
      </c>
      <c r="F24" s="319">
        <f t="shared" si="0"/>
        <v>347394</v>
      </c>
      <c r="G24" s="319">
        <f t="shared" si="0"/>
        <v>119248</v>
      </c>
      <c r="H24" s="319">
        <f t="shared" si="0"/>
        <v>10421</v>
      </c>
      <c r="I24" s="319">
        <f t="shared" si="0"/>
        <v>522</v>
      </c>
      <c r="J24" s="319">
        <f>SUM(J11:J23)</f>
        <v>12841</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476</v>
      </c>
      <c r="I27" s="452"/>
      <c r="J27" s="461"/>
      <c r="K27" s="432"/>
      <c r="L27" s="286"/>
      <c r="M27" s="286"/>
      <c r="N27" s="286"/>
      <c r="O27" s="286"/>
      <c r="P27" s="286"/>
      <c r="Q27" s="286"/>
    </row>
    <row r="28" spans="3:17" s="188" customFormat="1" ht="12" customHeight="1">
      <c r="C28" s="413"/>
      <c r="D28" s="414" t="s">
        <v>338</v>
      </c>
      <c r="E28" s="448"/>
      <c r="G28" s="286"/>
      <c r="H28" s="683" t="s">
        <v>461</v>
      </c>
      <c r="I28" s="683"/>
      <c r="J28" s="684"/>
      <c r="K28" s="318">
        <v>0</v>
      </c>
      <c r="L28" s="413" t="s">
        <v>6</v>
      </c>
      <c r="M28" s="286"/>
      <c r="N28" s="286"/>
      <c r="O28" s="286"/>
      <c r="P28" s="286"/>
      <c r="Q28" s="286"/>
    </row>
    <row r="29" spans="3:17" s="188" customFormat="1" ht="12" customHeight="1">
      <c r="C29" s="413"/>
      <c r="D29" s="414" t="s">
        <v>341</v>
      </c>
      <c r="E29" s="459" t="s">
        <v>339</v>
      </c>
      <c r="G29" s="286"/>
      <c r="H29" s="683" t="s">
        <v>462</v>
      </c>
      <c r="I29" s="683"/>
      <c r="J29" s="684"/>
      <c r="K29" s="318">
        <v>0</v>
      </c>
      <c r="L29" s="413" t="s">
        <v>7</v>
      </c>
      <c r="M29" s="286"/>
      <c r="N29" s="286"/>
      <c r="O29" s="286"/>
      <c r="P29" s="286"/>
      <c r="Q29" s="286"/>
    </row>
    <row r="30" spans="3:17" s="188" customFormat="1" ht="12" customHeight="1">
      <c r="C30" s="413"/>
      <c r="D30" s="415" t="s">
        <v>340</v>
      </c>
      <c r="E30" s="460" t="s">
        <v>336</v>
      </c>
      <c r="G30" s="286"/>
      <c r="H30" s="683" t="s">
        <v>463</v>
      </c>
      <c r="I30" s="683"/>
      <c r="J30" s="684"/>
      <c r="K30" s="318">
        <v>0</v>
      </c>
      <c r="L30" s="413" t="s">
        <v>8</v>
      </c>
      <c r="N30" s="286"/>
      <c r="O30" s="286"/>
      <c r="P30" s="286"/>
      <c r="Q30" s="286"/>
    </row>
    <row r="31" spans="1:17" s="188" customFormat="1" ht="12" customHeight="1">
      <c r="A31" s="685" t="s">
        <v>408</v>
      </c>
      <c r="B31" s="685"/>
      <c r="C31" s="684"/>
      <c r="D31" s="318">
        <v>0</v>
      </c>
      <c r="E31" s="318">
        <v>0</v>
      </c>
      <c r="F31" s="417" t="s">
        <v>6</v>
      </c>
      <c r="G31" s="433"/>
      <c r="M31" s="417"/>
      <c r="N31" s="434"/>
      <c r="O31" s="286"/>
      <c r="P31" s="435"/>
      <c r="Q31" s="286"/>
    </row>
    <row r="32" spans="1:17" s="188" customFormat="1" ht="12" customHeight="1">
      <c r="A32" s="685" t="s">
        <v>409</v>
      </c>
      <c r="B32" s="685"/>
      <c r="C32" s="684"/>
      <c r="D32" s="318">
        <v>0</v>
      </c>
      <c r="E32" s="318">
        <v>0</v>
      </c>
      <c r="F32" s="417" t="s">
        <v>7</v>
      </c>
      <c r="G32" s="433"/>
      <c r="M32" s="417"/>
      <c r="N32" s="435"/>
      <c r="O32" s="286"/>
      <c r="P32" s="429"/>
      <c r="Q32" s="436"/>
    </row>
    <row r="33" spans="1:17" s="188" customFormat="1" ht="12" customHeight="1">
      <c r="A33" s="685" t="s">
        <v>410</v>
      </c>
      <c r="B33" s="685"/>
      <c r="C33" s="684"/>
      <c r="D33" s="318">
        <v>53694</v>
      </c>
      <c r="E33" s="318">
        <v>0</v>
      </c>
      <c r="F33" s="417" t="s">
        <v>8</v>
      </c>
      <c r="G33" s="433"/>
      <c r="H33" s="461" t="s">
        <v>421</v>
      </c>
      <c r="I33" s="452"/>
      <c r="M33" s="286"/>
      <c r="N33" s="435"/>
      <c r="O33" s="286"/>
      <c r="P33" s="429"/>
      <c r="Q33" s="436"/>
    </row>
    <row r="34" spans="1:17" s="188" customFormat="1" ht="12" customHeight="1">
      <c r="A34" s="685" t="s">
        <v>411</v>
      </c>
      <c r="B34" s="685"/>
      <c r="C34" s="684"/>
      <c r="D34" s="318">
        <v>0</v>
      </c>
      <c r="E34" s="318">
        <v>0</v>
      </c>
      <c r="F34" s="417" t="s">
        <v>9</v>
      </c>
      <c r="G34" s="433"/>
      <c r="H34" s="683" t="s">
        <v>477</v>
      </c>
      <c r="I34" s="683"/>
      <c r="J34" s="684"/>
      <c r="K34" s="318">
        <v>0</v>
      </c>
      <c r="L34" s="413" t="s">
        <v>6</v>
      </c>
      <c r="M34" s="286"/>
      <c r="N34" s="429"/>
      <c r="O34" s="436"/>
      <c r="P34" s="429"/>
      <c r="Q34" s="436"/>
    </row>
    <row r="35" spans="1:17" s="188" customFormat="1" ht="12" customHeight="1">
      <c r="A35" s="416"/>
      <c r="B35" s="416"/>
      <c r="C35" s="413"/>
      <c r="D35" s="416"/>
      <c r="E35" s="416"/>
      <c r="F35" s="417"/>
      <c r="G35" s="433"/>
      <c r="H35" s="683" t="s">
        <v>478</v>
      </c>
      <c r="I35" s="683"/>
      <c r="J35" s="684"/>
      <c r="K35" s="318">
        <v>0</v>
      </c>
      <c r="L35" s="413" t="s">
        <v>7</v>
      </c>
      <c r="M35" s="286"/>
      <c r="N35" s="429"/>
      <c r="O35" s="436"/>
      <c r="P35" s="429"/>
      <c r="Q35" s="436"/>
    </row>
    <row r="36" spans="1:17" s="188" customFormat="1" ht="12" customHeight="1">
      <c r="A36" s="416"/>
      <c r="B36" s="416"/>
      <c r="C36" s="413"/>
      <c r="D36" s="416"/>
      <c r="E36" s="416"/>
      <c r="F36" s="417"/>
      <c r="G36" s="433"/>
      <c r="H36" s="683" t="s">
        <v>479</v>
      </c>
      <c r="I36" s="683"/>
      <c r="J36" s="684"/>
      <c r="K36" s="318">
        <v>0</v>
      </c>
      <c r="L36" s="413" t="s">
        <v>8</v>
      </c>
      <c r="M36" s="286"/>
      <c r="N36" s="429"/>
      <c r="O36" s="436"/>
      <c r="P36" s="429"/>
      <c r="Q36" s="436"/>
    </row>
    <row r="37" spans="1:17" s="188" customFormat="1" ht="12" customHeight="1">
      <c r="A37" s="461" t="s">
        <v>346</v>
      </c>
      <c r="B37" s="452"/>
      <c r="C37" s="3"/>
      <c r="D37" s="418" t="s">
        <v>333</v>
      </c>
      <c r="E37" s="3"/>
      <c r="F37" s="417"/>
      <c r="G37" s="433"/>
      <c r="H37" s="683" t="s">
        <v>480</v>
      </c>
      <c r="I37" s="683"/>
      <c r="J37" s="684"/>
      <c r="K37" s="319">
        <f>K34+K35-K36</f>
        <v>0</v>
      </c>
      <c r="L37" s="413" t="s">
        <v>9</v>
      </c>
      <c r="M37" s="286"/>
      <c r="N37" s="429"/>
      <c r="O37" s="436"/>
      <c r="P37" s="429"/>
      <c r="Q37" s="436"/>
    </row>
    <row r="38" spans="1:17" ht="12" customHeight="1">
      <c r="A38" s="681" t="s">
        <v>412</v>
      </c>
      <c r="B38" s="681"/>
      <c r="C38" s="682"/>
      <c r="D38" s="444">
        <v>0</v>
      </c>
      <c r="E38" s="417" t="s">
        <v>6</v>
      </c>
      <c r="G38" s="424"/>
      <c r="M38" s="424"/>
      <c r="N38" s="424"/>
      <c r="O38" s="424"/>
      <c r="P38" s="424"/>
      <c r="Q38" s="424"/>
    </row>
    <row r="39" spans="1:17" ht="12" customHeight="1">
      <c r="A39" s="681" t="s">
        <v>413</v>
      </c>
      <c r="B39" s="681"/>
      <c r="C39" s="682"/>
      <c r="D39" s="337">
        <v>0</v>
      </c>
      <c r="E39" s="417" t="s">
        <v>7</v>
      </c>
      <c r="G39" s="424"/>
      <c r="H39" s="683" t="s">
        <v>481</v>
      </c>
      <c r="I39" s="683"/>
      <c r="J39" s="685"/>
      <c r="K39" s="318">
        <v>0</v>
      </c>
      <c r="L39" s="413" t="s">
        <v>10</v>
      </c>
      <c r="M39" s="424"/>
      <c r="N39" s="424"/>
      <c r="O39" s="424"/>
      <c r="P39" s="424"/>
      <c r="Q39" s="424"/>
    </row>
    <row r="40" spans="1:17" ht="12" customHeight="1">
      <c r="A40" s="681" t="s">
        <v>414</v>
      </c>
      <c r="B40" s="681"/>
      <c r="C40" s="682"/>
      <c r="D40" s="337">
        <v>9800</v>
      </c>
      <c r="E40" s="417" t="s">
        <v>8</v>
      </c>
      <c r="G40" s="424"/>
      <c r="H40" s="683" t="s">
        <v>482</v>
      </c>
      <c r="I40" s="683"/>
      <c r="J40" s="683"/>
      <c r="K40" s="318">
        <v>0</v>
      </c>
      <c r="L40" s="413" t="s">
        <v>11</v>
      </c>
      <c r="M40" s="424"/>
      <c r="N40" s="424"/>
      <c r="O40" s="424"/>
      <c r="P40" s="424"/>
      <c r="Q40" s="424"/>
    </row>
    <row r="41" spans="1:17" ht="12" customHeight="1">
      <c r="A41" s="681" t="s">
        <v>415</v>
      </c>
      <c r="B41" s="681"/>
      <c r="C41" s="682"/>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422</v>
      </c>
      <c r="I43" s="452"/>
      <c r="J43" s="461"/>
      <c r="M43" s="286"/>
      <c r="N43" s="429"/>
      <c r="O43" s="438"/>
      <c r="P43" s="429"/>
      <c r="Q43" s="436"/>
    </row>
    <row r="44" spans="1:17" ht="12.75" customHeight="1">
      <c r="A44" s="462" t="s">
        <v>332</v>
      </c>
      <c r="B44" s="463"/>
      <c r="D44" s="415" t="s">
        <v>333</v>
      </c>
      <c r="G44" s="424"/>
      <c r="H44" s="683" t="s">
        <v>418</v>
      </c>
      <c r="I44" s="683"/>
      <c r="J44" s="684"/>
      <c r="K44" s="318">
        <v>3650</v>
      </c>
      <c r="L44" s="413" t="s">
        <v>6</v>
      </c>
      <c r="M44" s="424"/>
      <c r="N44" s="424"/>
      <c r="O44" s="424"/>
      <c r="P44" s="424"/>
      <c r="Q44" s="424"/>
    </row>
    <row r="45" spans="1:17" ht="12.75" customHeight="1">
      <c r="A45" s="683" t="s">
        <v>416</v>
      </c>
      <c r="B45" s="683"/>
      <c r="C45" s="684"/>
      <c r="D45" s="444">
        <v>150</v>
      </c>
      <c r="E45" s="417" t="s">
        <v>6</v>
      </c>
      <c r="H45" s="683" t="s">
        <v>424</v>
      </c>
      <c r="I45" s="683"/>
      <c r="J45" s="684"/>
      <c r="K45" s="318">
        <v>0</v>
      </c>
      <c r="L45" s="413" t="s">
        <v>7</v>
      </c>
      <c r="M45" s="424"/>
      <c r="N45" s="424"/>
      <c r="O45" s="424"/>
      <c r="P45" s="424"/>
      <c r="Q45" s="424"/>
    </row>
    <row r="46" spans="1:17" ht="12.75" customHeight="1">
      <c r="A46" s="683" t="s">
        <v>417</v>
      </c>
      <c r="B46" s="683"/>
      <c r="C46" s="684"/>
      <c r="D46" s="445">
        <v>0</v>
      </c>
      <c r="E46" s="417" t="s">
        <v>7</v>
      </c>
      <c r="G46" s="403"/>
      <c r="M46" s="424"/>
      <c r="N46" s="424"/>
      <c r="O46" s="424"/>
      <c r="P46" s="424"/>
      <c r="Q46" s="424"/>
    </row>
    <row r="47" spans="13:17" ht="12.75" customHeight="1">
      <c r="M47" s="424"/>
      <c r="N47" s="424"/>
      <c r="O47" s="424"/>
      <c r="P47" s="424"/>
      <c r="Q47" s="424"/>
    </row>
    <row r="48" spans="8:17" ht="12.75" customHeight="1">
      <c r="H48" s="461" t="s">
        <v>423</v>
      </c>
      <c r="I48" s="461"/>
      <c r="M48" s="424"/>
      <c r="N48" s="424"/>
      <c r="O48" s="424"/>
      <c r="P48" s="424"/>
      <c r="Q48" s="424"/>
    </row>
    <row r="49" spans="1:17" ht="12.75" customHeight="1">
      <c r="A49" s="416"/>
      <c r="B49" s="416"/>
      <c r="C49" s="413"/>
      <c r="D49" s="416"/>
      <c r="E49" s="416"/>
      <c r="G49" s="424"/>
      <c r="H49" s="403" t="s">
        <v>427</v>
      </c>
      <c r="I49" s="403"/>
      <c r="J49" s="508"/>
      <c r="K49" s="318">
        <v>995</v>
      </c>
      <c r="L49" s="413" t="s">
        <v>6</v>
      </c>
      <c r="M49" s="424"/>
      <c r="N49" s="424"/>
      <c r="O49" s="424"/>
      <c r="P49" s="424"/>
      <c r="Q49" s="424"/>
    </row>
    <row r="50" spans="1:17" ht="12.75" customHeight="1">
      <c r="A50" s="416"/>
      <c r="B50" s="416"/>
      <c r="C50" s="413"/>
      <c r="D50" s="416"/>
      <c r="E50" s="416"/>
      <c r="G50" s="424"/>
      <c r="H50" s="403" t="s">
        <v>426</v>
      </c>
      <c r="I50" s="403"/>
      <c r="J50" s="508"/>
      <c r="K50" s="318">
        <v>0</v>
      </c>
      <c r="L50" s="413" t="s">
        <v>7</v>
      </c>
      <c r="M50" s="424"/>
      <c r="N50" s="424"/>
      <c r="O50" s="424"/>
      <c r="P50" s="424"/>
      <c r="Q50" s="424"/>
    </row>
  </sheetData>
  <sheetProtection sheet="1" formatCells="0" formatColumns="0" formatRows="0"/>
  <mergeCells count="29">
    <mergeCell ref="A31:C31"/>
    <mergeCell ref="H28:J28"/>
    <mergeCell ref="H29:J29"/>
    <mergeCell ref="H30:J30"/>
    <mergeCell ref="F1:G1"/>
    <mergeCell ref="D6:K6"/>
    <mergeCell ref="C4:L4"/>
    <mergeCell ref="H35:J35"/>
    <mergeCell ref="Q1:R1"/>
    <mergeCell ref="P12:P13"/>
    <mergeCell ref="P20:P21"/>
    <mergeCell ref="P6:P10"/>
    <mergeCell ref="N1:O1"/>
    <mergeCell ref="H36:J36"/>
    <mergeCell ref="H37:J37"/>
    <mergeCell ref="H44:J44"/>
    <mergeCell ref="H45:J45"/>
    <mergeCell ref="A32:C32"/>
    <mergeCell ref="A33:C33"/>
    <mergeCell ref="A34:C34"/>
    <mergeCell ref="A38:C38"/>
    <mergeCell ref="A39:C39"/>
    <mergeCell ref="H34:J34"/>
    <mergeCell ref="A40:C40"/>
    <mergeCell ref="A41:C41"/>
    <mergeCell ref="A45:C45"/>
    <mergeCell ref="A46:C46"/>
    <mergeCell ref="H40:J40"/>
    <mergeCell ref="H39:J39"/>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horizontalCentered="1"/>
  <pageMargins left="0.75" right="0.75" top="0.75" bottom="0.75" header="0.5" footer="0.5"/>
  <pageSetup fitToHeight="1" fitToWidth="1" horizontalDpi="600" verticalDpi="600" orientation="landscape" scale="67" r:id="rId2"/>
  <headerFooter alignWithMargins="0">
    <oddFooter>&amp;LRev. 8/18&amp;CFY 2018</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52"/>
  <sheetViews>
    <sheetView showGridLines="0" workbookViewId="0" topLeftCell="A1">
      <pane ySplit="1" topLeftCell="A40" activePane="bottomLeft" state="frozen"/>
      <selection pane="topLeft" activeCell="D3" sqref="D3:I3"/>
      <selection pane="bottomLeft" activeCell="C45" sqref="C45"/>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94" t="s">
        <v>353</v>
      </c>
      <c r="B2" s="695"/>
      <c r="C2" s="471" t="s">
        <v>381</v>
      </c>
      <c r="F2" s="188"/>
      <c r="G2" s="188"/>
    </row>
    <row r="3" spans="1:7" ht="63" customHeight="1">
      <c r="A3" s="696"/>
      <c r="B3" s="697"/>
      <c r="C3" s="472" t="s">
        <v>379</v>
      </c>
      <c r="F3" s="473"/>
      <c r="G3" s="474"/>
    </row>
    <row r="4" spans="1:3" ht="44.25" customHeight="1">
      <c r="A4" s="696"/>
      <c r="B4" s="697"/>
      <c r="C4" s="475" t="s">
        <v>402</v>
      </c>
    </row>
    <row r="5" spans="1:3" ht="167.25" customHeight="1">
      <c r="A5" s="696"/>
      <c r="B5" s="697"/>
      <c r="C5" s="471" t="s">
        <v>505</v>
      </c>
    </row>
    <row r="6" spans="1:3" ht="65.25" customHeight="1">
      <c r="A6" s="698"/>
      <c r="B6" s="699"/>
      <c r="C6" s="475" t="s">
        <v>510</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428</v>
      </c>
      <c r="C9" s="475" t="s">
        <v>429</v>
      </c>
    </row>
    <row r="10" spans="1:3" ht="102">
      <c r="A10" s="482">
        <v>1</v>
      </c>
      <c r="B10" s="479" t="s">
        <v>399</v>
      </c>
      <c r="C10" s="480" t="s">
        <v>508</v>
      </c>
    </row>
    <row r="11" spans="1:3" ht="69.75" customHeight="1">
      <c r="A11" s="482">
        <v>1</v>
      </c>
      <c r="B11" s="479" t="s">
        <v>400</v>
      </c>
      <c r="C11" s="480" t="s">
        <v>403</v>
      </c>
    </row>
    <row r="12" spans="1:4" ht="51">
      <c r="A12" s="477">
        <v>2</v>
      </c>
      <c r="B12" s="479" t="s">
        <v>430</v>
      </c>
      <c r="C12" s="480" t="s">
        <v>483</v>
      </c>
      <c r="D12" s="481"/>
    </row>
    <row r="13" spans="1:3" ht="47.25" customHeight="1">
      <c r="A13" s="477">
        <v>2</v>
      </c>
      <c r="B13" s="479" t="s">
        <v>431</v>
      </c>
      <c r="C13" s="475" t="s">
        <v>484</v>
      </c>
    </row>
    <row r="14" spans="1:3" ht="111.75" customHeight="1">
      <c r="A14" s="482">
        <v>7</v>
      </c>
      <c r="B14" s="479" t="s">
        <v>443</v>
      </c>
      <c r="C14" s="480" t="s">
        <v>485</v>
      </c>
    </row>
    <row r="15" spans="1:3" ht="93.75" customHeight="1">
      <c r="A15" s="477">
        <v>7</v>
      </c>
      <c r="B15" s="479" t="s">
        <v>444</v>
      </c>
      <c r="C15" s="480" t="s">
        <v>486</v>
      </c>
    </row>
    <row r="16" spans="1:3" ht="45.75" customHeight="1">
      <c r="A16" s="477">
        <v>7</v>
      </c>
      <c r="B16" s="479" t="s">
        <v>445</v>
      </c>
      <c r="C16" s="480" t="s">
        <v>487</v>
      </c>
    </row>
    <row r="17" spans="1:3" ht="101.25" customHeight="1">
      <c r="A17" s="477">
        <v>7</v>
      </c>
      <c r="B17" s="479" t="s">
        <v>446</v>
      </c>
      <c r="C17" s="480" t="s">
        <v>488</v>
      </c>
    </row>
    <row r="18" spans="1:3" ht="51">
      <c r="A18" s="477">
        <v>7</v>
      </c>
      <c r="B18" s="479" t="s">
        <v>447</v>
      </c>
      <c r="C18" s="480" t="s">
        <v>489</v>
      </c>
    </row>
    <row r="19" spans="1:3" ht="145.5" customHeight="1">
      <c r="A19" s="477">
        <v>7</v>
      </c>
      <c r="B19" s="479" t="s">
        <v>448</v>
      </c>
      <c r="C19" s="480" t="s">
        <v>460</v>
      </c>
    </row>
    <row r="20" spans="1:3" ht="51">
      <c r="A20" s="477">
        <v>7</v>
      </c>
      <c r="B20" s="479" t="s">
        <v>449</v>
      </c>
      <c r="C20" s="480" t="s">
        <v>358</v>
      </c>
    </row>
    <row r="21" spans="1:3" ht="51">
      <c r="A21" s="477">
        <v>7</v>
      </c>
      <c r="B21" s="479" t="s">
        <v>450</v>
      </c>
      <c r="C21" s="480" t="s">
        <v>359</v>
      </c>
    </row>
    <row r="22" spans="1:3" ht="51">
      <c r="A22" s="477">
        <v>7</v>
      </c>
      <c r="B22" s="479" t="s">
        <v>451</v>
      </c>
      <c r="C22" s="480" t="s">
        <v>360</v>
      </c>
    </row>
    <row r="23" spans="1:3" ht="51">
      <c r="A23" s="477">
        <v>7</v>
      </c>
      <c r="B23" s="483" t="s">
        <v>452</v>
      </c>
      <c r="C23" s="480" t="s">
        <v>377</v>
      </c>
    </row>
    <row r="24" spans="1:3" ht="51">
      <c r="A24" s="477">
        <v>7</v>
      </c>
      <c r="B24" s="483" t="s">
        <v>453</v>
      </c>
      <c r="C24" s="480" t="s">
        <v>361</v>
      </c>
    </row>
    <row r="25" spans="1:3" ht="65.25" customHeight="1">
      <c r="A25" s="477">
        <v>7</v>
      </c>
      <c r="B25" s="483" t="s">
        <v>516</v>
      </c>
      <c r="C25" s="480" t="s">
        <v>517</v>
      </c>
    </row>
    <row r="26" spans="1:3" ht="51">
      <c r="A26" s="477">
        <v>7</v>
      </c>
      <c r="B26" s="483" t="s">
        <v>467</v>
      </c>
      <c r="C26" s="480" t="s">
        <v>511</v>
      </c>
    </row>
    <row r="27" spans="1:3" ht="76.5">
      <c r="A27" s="477">
        <v>7</v>
      </c>
      <c r="B27" s="479" t="s">
        <v>454</v>
      </c>
      <c r="C27" s="471" t="s">
        <v>490</v>
      </c>
    </row>
    <row r="28" spans="1:3" ht="38.25">
      <c r="A28" s="477">
        <v>7</v>
      </c>
      <c r="B28" s="479" t="s">
        <v>455</v>
      </c>
      <c r="C28" s="480" t="s">
        <v>378</v>
      </c>
    </row>
    <row r="29" spans="1:3" ht="47.25" customHeight="1">
      <c r="A29" s="477">
        <v>7</v>
      </c>
      <c r="B29" s="479" t="s">
        <v>456</v>
      </c>
      <c r="C29" s="480" t="s">
        <v>469</v>
      </c>
    </row>
    <row r="30" spans="1:3" ht="38.25">
      <c r="A30" s="477">
        <v>7</v>
      </c>
      <c r="B30" s="479" t="s">
        <v>457</v>
      </c>
      <c r="C30" s="480" t="s">
        <v>362</v>
      </c>
    </row>
    <row r="31" spans="1:3" ht="38.25">
      <c r="A31" s="477">
        <v>7</v>
      </c>
      <c r="B31" s="479" t="s">
        <v>458</v>
      </c>
      <c r="C31" s="480" t="s">
        <v>363</v>
      </c>
    </row>
    <row r="32" spans="1:4" s="374" customFormat="1" ht="38.25">
      <c r="A32" s="482">
        <v>7</v>
      </c>
      <c r="B32" s="483" t="s">
        <v>459</v>
      </c>
      <c r="C32" s="480" t="s">
        <v>380</v>
      </c>
      <c r="D32" s="484"/>
    </row>
    <row r="33" spans="1:4" s="374" customFormat="1" ht="51">
      <c r="A33" s="482">
        <v>7</v>
      </c>
      <c r="B33" s="483" t="s">
        <v>499</v>
      </c>
      <c r="C33" s="480" t="s">
        <v>514</v>
      </c>
      <c r="D33" s="484"/>
    </row>
    <row r="34" spans="1:3" s="374" customFormat="1" ht="51">
      <c r="A34" s="482">
        <v>7</v>
      </c>
      <c r="B34" s="483" t="s">
        <v>500</v>
      </c>
      <c r="C34" s="480" t="s">
        <v>512</v>
      </c>
    </row>
    <row r="35" spans="1:4" s="374" customFormat="1" ht="51">
      <c r="A35" s="482">
        <v>7</v>
      </c>
      <c r="B35" s="483" t="s">
        <v>501</v>
      </c>
      <c r="C35" s="480" t="s">
        <v>513</v>
      </c>
      <c r="D35" s="484"/>
    </row>
    <row r="36" spans="1:15" s="374" customFormat="1" ht="30.75" customHeight="1">
      <c r="A36" s="482">
        <v>8</v>
      </c>
      <c r="B36" s="479" t="s">
        <v>384</v>
      </c>
      <c r="C36" s="480" t="s">
        <v>385</v>
      </c>
      <c r="D36" s="484"/>
      <c r="E36" s="465"/>
      <c r="F36" s="465"/>
      <c r="G36" s="465"/>
      <c r="H36" s="465"/>
      <c r="I36" s="465"/>
      <c r="J36" s="465"/>
      <c r="K36" s="465"/>
      <c r="L36" s="465"/>
      <c r="M36" s="465"/>
      <c r="N36" s="465"/>
      <c r="O36" s="465"/>
    </row>
    <row r="37" spans="1:3" ht="42" customHeight="1">
      <c r="A37" s="477">
        <v>8</v>
      </c>
      <c r="B37" s="479" t="s">
        <v>386</v>
      </c>
      <c r="C37" s="475" t="s">
        <v>364</v>
      </c>
    </row>
    <row r="38" spans="1:3" ht="42" customHeight="1">
      <c r="A38" s="477">
        <v>8</v>
      </c>
      <c r="B38" s="479" t="s">
        <v>433</v>
      </c>
      <c r="C38" s="475" t="s">
        <v>434</v>
      </c>
    </row>
    <row r="39" spans="1:3" ht="21.75" customHeight="1">
      <c r="A39" s="482">
        <v>8</v>
      </c>
      <c r="B39" s="479" t="s">
        <v>376</v>
      </c>
      <c r="C39" s="480" t="s">
        <v>288</v>
      </c>
    </row>
    <row r="40" spans="1:3" ht="33.75" customHeight="1">
      <c r="A40" s="477">
        <v>9</v>
      </c>
      <c r="B40" s="479" t="s">
        <v>365</v>
      </c>
      <c r="C40" s="475" t="s">
        <v>368</v>
      </c>
    </row>
    <row r="41" spans="1:3" ht="53.25" customHeight="1">
      <c r="A41" s="477">
        <v>9</v>
      </c>
      <c r="B41" s="479" t="s">
        <v>395</v>
      </c>
      <c r="C41" s="475" t="s">
        <v>432</v>
      </c>
    </row>
    <row r="42" spans="1:3" ht="30" customHeight="1">
      <c r="A42" s="477">
        <v>9</v>
      </c>
      <c r="B42" s="479" t="s">
        <v>491</v>
      </c>
      <c r="C42" s="475" t="s">
        <v>492</v>
      </c>
    </row>
    <row r="43" spans="1:3" ht="169.5" customHeight="1">
      <c r="A43" s="477">
        <v>10</v>
      </c>
      <c r="B43" s="479" t="s">
        <v>353</v>
      </c>
      <c r="C43" s="480" t="s">
        <v>509</v>
      </c>
    </row>
    <row r="44" spans="1:3" ht="30" customHeight="1">
      <c r="A44" s="477">
        <v>10</v>
      </c>
      <c r="B44" s="479" t="s">
        <v>312</v>
      </c>
      <c r="C44" s="480" t="s">
        <v>404</v>
      </c>
    </row>
    <row r="45" spans="1:3" ht="74.25" customHeight="1">
      <c r="A45" s="477">
        <v>10</v>
      </c>
      <c r="B45" s="479" t="s">
        <v>366</v>
      </c>
      <c r="C45" s="475" t="s">
        <v>369</v>
      </c>
    </row>
    <row r="46" spans="1:3" ht="69.75" customHeight="1">
      <c r="A46" s="477">
        <v>10</v>
      </c>
      <c r="B46" s="479" t="s">
        <v>346</v>
      </c>
      <c r="C46" s="471" t="s">
        <v>401</v>
      </c>
    </row>
    <row r="47" spans="1:3" ht="47.25" customHeight="1">
      <c r="A47" s="477">
        <v>10</v>
      </c>
      <c r="B47" s="479" t="s">
        <v>332</v>
      </c>
      <c r="C47" s="475" t="s">
        <v>367</v>
      </c>
    </row>
    <row r="48" spans="1:3" ht="149.25" customHeight="1">
      <c r="A48" s="477">
        <v>10</v>
      </c>
      <c r="B48" s="479" t="s">
        <v>464</v>
      </c>
      <c r="C48" s="471" t="s">
        <v>468</v>
      </c>
    </row>
    <row r="49" spans="1:3" ht="165.75">
      <c r="A49" s="477">
        <v>10</v>
      </c>
      <c r="B49" s="476" t="s">
        <v>421</v>
      </c>
      <c r="C49" s="471" t="s">
        <v>465</v>
      </c>
    </row>
    <row r="50" spans="1:3" ht="50.25" customHeight="1">
      <c r="A50" s="477">
        <v>10</v>
      </c>
      <c r="B50" s="476" t="s">
        <v>420</v>
      </c>
      <c r="C50" s="471" t="s">
        <v>425</v>
      </c>
    </row>
    <row r="51" spans="1:3" ht="89.25">
      <c r="A51" s="477">
        <v>10</v>
      </c>
      <c r="B51" s="476" t="s">
        <v>419</v>
      </c>
      <c r="C51" s="475" t="s">
        <v>506</v>
      </c>
    </row>
    <row r="52" spans="1:3" ht="12.75">
      <c r="A52" s="485"/>
      <c r="B52" s="486"/>
      <c r="C52"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7" location="'Page 7'!A1" display="'Page 7'!A1"/>
    <hyperlink ref="A28" location="'Page 7'!A1" display="'Page 7'!A1"/>
    <hyperlink ref="A30" location="'Page 7'!A1" display="'Page 7'!A1"/>
    <hyperlink ref="A31" location="'Page 7'!A1" display="'Page 7'!A1"/>
    <hyperlink ref="A32" location="'Page 7'!A1" display="'Page 7'!A1"/>
    <hyperlink ref="A37" location="'Page 8'!A1" display="'Page 8'!A1"/>
    <hyperlink ref="A40" location="'Page 9'!A1" display="'Page 9'!A1"/>
    <hyperlink ref="A42" location="'Page 9'!A1" display="'Page 9'!A1"/>
    <hyperlink ref="A43" location="'Page 10'!A1" display="'Page 10'!A1"/>
    <hyperlink ref="A45" location="'Page 10'!A1" display="'Page 10'!A1"/>
    <hyperlink ref="A46" location="'Page 10'!A1" display="'Page 10'!A1"/>
    <hyperlink ref="A47" location="'Page 10'!A1" display="'Page 10'!A1"/>
    <hyperlink ref="A29" location="'Page 7'!A1" display="'Page 7'!A1"/>
    <hyperlink ref="A16" location="'Page 7'!A1" display="'Page 7'!A1"/>
    <hyperlink ref="A36" location="'Page 8'!A1" display="'Page 8'!A1"/>
    <hyperlink ref="A39" location="'Page 8'!A1" display="'Page 8'!A1"/>
    <hyperlink ref="A2:B2" location="'Cover Page'!A1" display="General"/>
    <hyperlink ref="A7" location="'Cover Page'!A1" display="Cover"/>
    <hyperlink ref="A44" location="'Page 10'!A1" display="'Page 10'!A1"/>
    <hyperlink ref="A41" location="'Page 9'!A1" display="'Page 9'!A1"/>
    <hyperlink ref="A10" location="'Page 1'!A1" display="'Page 1'!A1"/>
    <hyperlink ref="A11" location="'Page 1'!A1" display="'Page 1'!A1"/>
    <hyperlink ref="A49" location="'Page 10'!A1" display="'Page 10'!A1"/>
    <hyperlink ref="A50" location="'Page 10'!A1" display="'Page 10'!A1"/>
    <hyperlink ref="A9" location="'Page 1'!A1" display="'Page 1'!A1"/>
    <hyperlink ref="A38" location="'Page 8'!A1" display="'Page 8'!A1"/>
    <hyperlink ref="A48" location="'Page 10'!A1" display="'Page 10'!A1"/>
    <hyperlink ref="A26" location="'Page 7'!A1" display="'Page 7'!A1"/>
    <hyperlink ref="A33" location="'Page 7'!A1" display="'Page 7'!A1"/>
    <hyperlink ref="A25" location="'Page 7'!A1" display="'Page 7'!A1"/>
    <hyperlink ref="A51" location="'Page 10'!A1" display="'Page 10'!A1"/>
    <hyperlink ref="A34" location="'Page 7'!A1" display="'Page 7'!A1"/>
    <hyperlink ref="A35" location="'Page 7'!A1" display="'Page 7'!A1"/>
  </hyperlinks>
  <printOptions horizontalCentered="1"/>
  <pageMargins left="0.75" right="0.75" top="0.75" bottom="0.75" header="0.5" footer="0.5"/>
  <pageSetup fitToHeight="1" fitToWidth="1" horizontalDpi="600" verticalDpi="600" orientation="landscape" scale="15" r:id="rId1"/>
  <headerFooter alignWithMargins="0">
    <oddFooter>&amp;LRev. 8/18&amp;CFY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25">
      <selection activeCell="I56" sqref="I56"/>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65" t="str">
        <f>'Cover Page'!D1</f>
        <v>SCOTTSDALE COUNTRY DAY SCHOOL</v>
      </c>
      <c r="C1" s="565"/>
      <c r="D1" s="2"/>
      <c r="F1" s="4" t="s">
        <v>1</v>
      </c>
      <c r="G1" s="11" t="str">
        <f>'Cover Page'!M1</f>
        <v>MARICOPA </v>
      </c>
      <c r="J1" s="4"/>
      <c r="K1" s="4" t="s">
        <v>138</v>
      </c>
      <c r="L1" s="244" t="str">
        <f>'Cover Page'!R1</f>
        <v>078243000</v>
      </c>
    </row>
    <row r="2" spans="5:12" ht="3.75" customHeight="1">
      <c r="E2" s="2"/>
      <c r="F2" s="2"/>
      <c r="L2" s="9"/>
    </row>
    <row r="3" spans="1:12" ht="15.75" customHeight="1">
      <c r="A3" s="78"/>
      <c r="B3" s="79"/>
      <c r="C3" s="80"/>
      <c r="D3" s="78"/>
      <c r="E3" s="220" t="s">
        <v>218</v>
      </c>
      <c r="F3" s="29" t="s">
        <v>198</v>
      </c>
      <c r="G3" s="221"/>
      <c r="H3" s="222"/>
      <c r="I3" s="569" t="s">
        <v>143</v>
      </c>
      <c r="J3" s="569"/>
      <c r="K3" s="569"/>
      <c r="L3" s="566" t="s">
        <v>262</v>
      </c>
    </row>
    <row r="4" spans="1:12" ht="12" customHeight="1">
      <c r="A4" s="449" t="s">
        <v>113</v>
      </c>
      <c r="B4" s="2"/>
      <c r="C4" s="75"/>
      <c r="D4" s="223" t="s">
        <v>144</v>
      </c>
      <c r="E4" s="224" t="s">
        <v>145</v>
      </c>
      <c r="F4" s="225" t="s">
        <v>189</v>
      </c>
      <c r="G4" s="226" t="s">
        <v>159</v>
      </c>
      <c r="H4" s="223" t="s">
        <v>200</v>
      </c>
      <c r="I4" s="78"/>
      <c r="J4" s="78"/>
      <c r="K4" s="29" t="s">
        <v>281</v>
      </c>
      <c r="L4" s="567"/>
    </row>
    <row r="5" spans="1:12" ht="11.25" customHeight="1">
      <c r="A5" s="82" t="s">
        <v>123</v>
      </c>
      <c r="B5" s="8"/>
      <c r="C5" s="83"/>
      <c r="D5" s="218">
        <v>6100</v>
      </c>
      <c r="E5" s="32">
        <v>6200</v>
      </c>
      <c r="F5" s="32" t="s">
        <v>34</v>
      </c>
      <c r="G5" s="219">
        <v>6600</v>
      </c>
      <c r="H5" s="218">
        <v>6800</v>
      </c>
      <c r="I5" s="330" t="s">
        <v>162</v>
      </c>
      <c r="J5" s="223" t="s">
        <v>163</v>
      </c>
      <c r="K5" s="225" t="s">
        <v>163</v>
      </c>
      <c r="L5" s="568"/>
    </row>
    <row r="6" spans="1:12" ht="12" customHeight="1">
      <c r="A6" s="84" t="s">
        <v>36</v>
      </c>
      <c r="B6" s="79"/>
      <c r="C6" s="80"/>
      <c r="D6" s="348"/>
      <c r="E6" s="348"/>
      <c r="F6" s="348"/>
      <c r="G6" s="348"/>
      <c r="H6" s="348"/>
      <c r="I6" s="561">
        <f>[2]!SP1000P100F1000</f>
        <v>500695</v>
      </c>
      <c r="J6" s="559">
        <f>SUM(D7:H7)</f>
        <v>507159</v>
      </c>
      <c r="K6" s="559">
        <f>[1]!SP1000P100F1000</f>
        <v>337362</v>
      </c>
      <c r="L6" s="572">
        <f>IF(J6=K6,0,IF(K6&gt;0,(J6-K6)/K6,"--"))</f>
        <v>0.5033</v>
      </c>
    </row>
    <row r="7" spans="1:13" ht="12" customHeight="1">
      <c r="A7" s="85" t="s">
        <v>37</v>
      </c>
      <c r="B7" s="2"/>
      <c r="C7" s="86" t="s">
        <v>6</v>
      </c>
      <c r="D7" s="506">
        <f>356355-D40</f>
        <v>344355</v>
      </c>
      <c r="E7" s="347">
        <v>61007</v>
      </c>
      <c r="F7" s="347">
        <v>65518</v>
      </c>
      <c r="G7" s="347">
        <f>38261-G40</f>
        <v>36261</v>
      </c>
      <c r="H7" s="351">
        <v>18</v>
      </c>
      <c r="I7" s="562"/>
      <c r="J7" s="560"/>
      <c r="K7" s="560"/>
      <c r="L7" s="573"/>
      <c r="M7" s="87" t="s">
        <v>6</v>
      </c>
    </row>
    <row r="8" spans="1:13" ht="12" customHeight="1">
      <c r="A8" s="85" t="s">
        <v>258</v>
      </c>
      <c r="B8" s="2"/>
      <c r="C8" s="75"/>
      <c r="D8" s="348"/>
      <c r="E8" s="348"/>
      <c r="F8" s="348"/>
      <c r="G8" s="349"/>
      <c r="H8" s="348"/>
      <c r="I8" s="563">
        <f>[2]!SP1000P100F2100</f>
        <v>65661</v>
      </c>
      <c r="J8" s="559">
        <f>SUM(D9:H9)</f>
        <v>78550</v>
      </c>
      <c r="K8" s="574">
        <f>[1]!SP1000P100F2100</f>
        <v>53115</v>
      </c>
      <c r="L8" s="570">
        <f>IF(J8=K8,0,IF(K8&gt;0,(J8-K8)/K8,"--"))</f>
        <v>0.4789</v>
      </c>
      <c r="M8" s="35"/>
    </row>
    <row r="9" spans="1:13" ht="12" customHeight="1">
      <c r="A9" s="85" t="s">
        <v>236</v>
      </c>
      <c r="B9" s="2"/>
      <c r="C9" s="86" t="s">
        <v>7</v>
      </c>
      <c r="D9" s="347">
        <v>48104</v>
      </c>
      <c r="E9" s="347">
        <f>6084-E40</f>
        <v>5009</v>
      </c>
      <c r="F9" s="347">
        <v>3366</v>
      </c>
      <c r="G9" s="350">
        <v>22032</v>
      </c>
      <c r="H9" s="347">
        <v>39</v>
      </c>
      <c r="I9" s="564"/>
      <c r="J9" s="560"/>
      <c r="K9" s="575"/>
      <c r="L9" s="571"/>
      <c r="M9" s="87" t="s">
        <v>7</v>
      </c>
    </row>
    <row r="10" spans="1:13" ht="12" customHeight="1">
      <c r="A10" s="85" t="s">
        <v>237</v>
      </c>
      <c r="B10" s="2"/>
      <c r="C10" s="86" t="s">
        <v>8</v>
      </c>
      <c r="D10" s="76">
        <v>44053</v>
      </c>
      <c r="E10" s="17">
        <v>9071</v>
      </c>
      <c r="F10" s="76">
        <v>9253</v>
      </c>
      <c r="G10" s="17">
        <v>1001</v>
      </c>
      <c r="H10" s="347"/>
      <c r="I10" s="77">
        <f>[2]!SP1000P100F2200</f>
        <v>66288</v>
      </c>
      <c r="J10" s="77">
        <f aca="true" t="shared" si="0" ref="J10:J21">SUM(D10:H10)</f>
        <v>63378</v>
      </c>
      <c r="K10" s="77">
        <f>[1]!SP1000P100F2200</f>
        <v>66435</v>
      </c>
      <c r="L10" s="279">
        <f aca="true" t="shared" si="1" ref="L10:L16">IF(J10=K10,0,IF(K10&gt;0,(J10-K10)/K10,"--"))</f>
        <v>-0.046</v>
      </c>
      <c r="M10" s="87" t="s">
        <v>8</v>
      </c>
    </row>
    <row r="11" spans="1:13" ht="12" customHeight="1">
      <c r="A11" s="85" t="s">
        <v>38</v>
      </c>
      <c r="B11" s="2"/>
      <c r="C11" s="86" t="s">
        <v>9</v>
      </c>
      <c r="D11" s="76">
        <v>0</v>
      </c>
      <c r="E11" s="17"/>
      <c r="F11" s="76">
        <v>3776</v>
      </c>
      <c r="G11" s="17"/>
      <c r="H11" s="76"/>
      <c r="I11" s="77">
        <f>[2]!SP1000P100F2300</f>
        <v>400</v>
      </c>
      <c r="J11" s="77">
        <f t="shared" si="0"/>
        <v>3776</v>
      </c>
      <c r="K11" s="77">
        <f>[1]!SP1000P100F2300</f>
        <v>0</v>
      </c>
      <c r="L11" s="279" t="str">
        <f t="shared" si="1"/>
        <v>--</v>
      </c>
      <c r="M11" s="87" t="s">
        <v>9</v>
      </c>
    </row>
    <row r="12" spans="1:13" ht="12" customHeight="1">
      <c r="A12" s="85" t="s">
        <v>39</v>
      </c>
      <c r="B12" s="2"/>
      <c r="C12" s="86" t="s">
        <v>10</v>
      </c>
      <c r="D12" s="76">
        <v>63792</v>
      </c>
      <c r="E12" s="17">
        <v>9441</v>
      </c>
      <c r="F12" s="76">
        <v>12437</v>
      </c>
      <c r="G12" s="17">
        <v>16972</v>
      </c>
      <c r="H12" s="76">
        <v>563</v>
      </c>
      <c r="I12" s="77">
        <f>[2]!SP1000P100F2400</f>
        <v>69338</v>
      </c>
      <c r="J12" s="77">
        <f t="shared" si="0"/>
        <v>103205</v>
      </c>
      <c r="K12" s="77">
        <f>[1]!SP1000P100F2400</f>
        <v>78027</v>
      </c>
      <c r="L12" s="279">
        <f t="shared" si="1"/>
        <v>0.3227</v>
      </c>
      <c r="M12" s="87" t="s">
        <v>10</v>
      </c>
    </row>
    <row r="13" spans="1:13" ht="12" customHeight="1">
      <c r="A13" s="85" t="s">
        <v>238</v>
      </c>
      <c r="B13" s="2"/>
      <c r="C13" s="86" t="s">
        <v>11</v>
      </c>
      <c r="D13" s="76">
        <v>41477</v>
      </c>
      <c r="E13" s="17">
        <v>6193</v>
      </c>
      <c r="F13" s="76">
        <v>40814</v>
      </c>
      <c r="G13" s="17">
        <v>553</v>
      </c>
      <c r="H13" s="76">
        <f>10093-1051.4</f>
        <v>9042</v>
      </c>
      <c r="I13" s="77">
        <f>[2]!SP1000P100F2500</f>
        <v>89532</v>
      </c>
      <c r="J13" s="77">
        <f t="shared" si="0"/>
        <v>98079</v>
      </c>
      <c r="K13" s="77">
        <f>[1]!SP1000P100F2500</f>
        <v>93009</v>
      </c>
      <c r="L13" s="279">
        <f t="shared" si="1"/>
        <v>0.0545</v>
      </c>
      <c r="M13" s="87" t="s">
        <v>11</v>
      </c>
    </row>
    <row r="14" spans="1:13" ht="12" customHeight="1">
      <c r="A14" s="85" t="s">
        <v>300</v>
      </c>
      <c r="B14" s="2"/>
      <c r="C14" s="86" t="s">
        <v>12</v>
      </c>
      <c r="D14" s="76">
        <v>10000</v>
      </c>
      <c r="E14" s="17">
        <v>1943</v>
      </c>
      <c r="F14" s="76">
        <v>174275</v>
      </c>
      <c r="G14" s="17">
        <v>2642</v>
      </c>
      <c r="H14" s="76"/>
      <c r="I14" s="77">
        <f>[2]!SP1000P100F2600</f>
        <v>207714</v>
      </c>
      <c r="J14" s="77">
        <f t="shared" si="0"/>
        <v>188860</v>
      </c>
      <c r="K14" s="77">
        <f>[1]!SP1000P100F2600</f>
        <v>159865</v>
      </c>
      <c r="L14" s="279">
        <f t="shared" si="1"/>
        <v>0.1814</v>
      </c>
      <c r="M14" s="87" t="s">
        <v>12</v>
      </c>
    </row>
    <row r="15" spans="1:13" ht="12" customHeight="1">
      <c r="A15" s="85" t="s">
        <v>124</v>
      </c>
      <c r="B15" s="2"/>
      <c r="C15" s="86" t="s">
        <v>14</v>
      </c>
      <c r="D15" s="88">
        <v>0</v>
      </c>
      <c r="E15" s="17">
        <v>0</v>
      </c>
      <c r="F15" s="76"/>
      <c r="G15" s="17"/>
      <c r="H15" s="76"/>
      <c r="I15" s="77">
        <f>[2]!SP1000P100F2900</f>
        <v>0</v>
      </c>
      <c r="J15" s="77">
        <f t="shared" si="0"/>
        <v>0</v>
      </c>
      <c r="K15" s="77">
        <f>[1]!SP1000P100F2900</f>
        <v>36382</v>
      </c>
      <c r="L15" s="279">
        <f t="shared" si="1"/>
        <v>-1</v>
      </c>
      <c r="M15" s="87" t="s">
        <v>14</v>
      </c>
    </row>
    <row r="16" spans="1:13" ht="12" customHeight="1">
      <c r="A16" s="85" t="s">
        <v>40</v>
      </c>
      <c r="B16" s="2"/>
      <c r="C16" s="86" t="s">
        <v>15</v>
      </c>
      <c r="D16" s="76">
        <v>18000</v>
      </c>
      <c r="E16" s="17">
        <v>2848</v>
      </c>
      <c r="F16" s="76">
        <v>1066</v>
      </c>
      <c r="G16" s="17">
        <v>19061</v>
      </c>
      <c r="H16" s="76"/>
      <c r="I16" s="77">
        <f>[2]!SP1000P100F3000</f>
        <v>45308</v>
      </c>
      <c r="J16" s="77">
        <f t="shared" si="0"/>
        <v>40975</v>
      </c>
      <c r="K16" s="77">
        <f>[1]!SP1000P100F3000</f>
        <v>20220</v>
      </c>
      <c r="L16" s="279">
        <f t="shared" si="1"/>
        <v>1.0265</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v>150</v>
      </c>
      <c r="I18" s="77">
        <f>[2]!SP1000P100F5000</f>
        <v>0</v>
      </c>
      <c r="J18" s="77">
        <f t="shared" si="0"/>
        <v>150</v>
      </c>
      <c r="K18" s="77">
        <f>[1]!SP1000P100F5000</f>
        <v>0</v>
      </c>
      <c r="L18" s="279" t="str">
        <f t="shared" si="2"/>
        <v>--</v>
      </c>
      <c r="M18" s="87" t="s">
        <v>17</v>
      </c>
    </row>
    <row r="19" spans="1:13" ht="12" customHeight="1">
      <c r="A19" s="85" t="s">
        <v>130</v>
      </c>
      <c r="B19" s="2"/>
      <c r="C19" s="86" t="s">
        <v>18</v>
      </c>
      <c r="D19" s="88">
        <v>5078</v>
      </c>
      <c r="E19" s="17">
        <v>479</v>
      </c>
      <c r="F19" s="76">
        <v>17818</v>
      </c>
      <c r="G19" s="17">
        <v>10841</v>
      </c>
      <c r="H19" s="76">
        <v>12352</v>
      </c>
      <c r="I19" s="77">
        <f>[2]!SP1000P610</f>
        <v>0</v>
      </c>
      <c r="J19" s="77">
        <f t="shared" si="0"/>
        <v>46568</v>
      </c>
      <c r="K19" s="77">
        <f>[1]!SP1000P610</f>
        <v>0</v>
      </c>
      <c r="L19" s="279" t="str">
        <f t="shared" si="2"/>
        <v>--</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v>33687</v>
      </c>
      <c r="E21" s="17">
        <v>5228</v>
      </c>
      <c r="F21" s="76">
        <v>6888</v>
      </c>
      <c r="G21" s="17">
        <v>7771</v>
      </c>
      <c r="H21" s="76">
        <v>120</v>
      </c>
      <c r="I21" s="77">
        <f>[2]!SP1000P630700800900</f>
        <v>40622</v>
      </c>
      <c r="J21" s="77">
        <f t="shared" si="0"/>
        <v>53694</v>
      </c>
      <c r="K21" s="77">
        <f>[1]!SP1000P630700800900</f>
        <v>16826</v>
      </c>
      <c r="L21" s="279">
        <f t="shared" si="2"/>
        <v>2.1911</v>
      </c>
      <c r="M21" s="87" t="s">
        <v>21</v>
      </c>
    </row>
    <row r="22" spans="1:13" ht="12" customHeight="1">
      <c r="A22" s="89" t="s">
        <v>231</v>
      </c>
      <c r="B22" s="8"/>
      <c r="C22" s="90" t="s">
        <v>22</v>
      </c>
      <c r="D22" s="23">
        <f>SUM(D6:D21)</f>
        <v>608546</v>
      </c>
      <c r="E22" s="23">
        <f aca="true" t="shared" si="3" ref="E22:K22">SUM(E6:E21)</f>
        <v>101219</v>
      </c>
      <c r="F22" s="23">
        <f t="shared" si="3"/>
        <v>335211</v>
      </c>
      <c r="G22" s="23">
        <f t="shared" si="3"/>
        <v>117134</v>
      </c>
      <c r="H22" s="23">
        <f t="shared" si="3"/>
        <v>22284</v>
      </c>
      <c r="I22" s="43">
        <f t="shared" si="3"/>
        <v>1085558</v>
      </c>
      <c r="J22" s="23">
        <f>SUM(J6:J21)</f>
        <v>1184394</v>
      </c>
      <c r="K22" s="77">
        <f t="shared" si="3"/>
        <v>861241</v>
      </c>
      <c r="L22" s="279">
        <f t="shared" si="2"/>
        <v>0.3752</v>
      </c>
      <c r="M22" s="87" t="s">
        <v>22</v>
      </c>
    </row>
    <row r="23" spans="1:13" ht="12" customHeight="1">
      <c r="A23" s="81" t="s">
        <v>42</v>
      </c>
      <c r="B23" s="2"/>
      <c r="C23" s="75"/>
      <c r="D23" s="348"/>
      <c r="E23" s="348"/>
      <c r="F23" s="348"/>
      <c r="G23" s="348"/>
      <c r="H23" s="348"/>
      <c r="I23" s="559">
        <f>[2]!SP1000P200F1000</f>
        <v>11646</v>
      </c>
      <c r="J23" s="559">
        <f>SUM(D24:H24)</f>
        <v>24346</v>
      </c>
      <c r="K23" s="559">
        <f>[1]!SP1000P200F1000</f>
        <v>21153</v>
      </c>
      <c r="L23" s="570">
        <f>IF(J23=K23,0,IF(K23&gt;0,(J23-K23)/K23,"--"))</f>
        <v>0.1509</v>
      </c>
      <c r="M23" s="35"/>
    </row>
    <row r="24" spans="1:13" ht="12" customHeight="1">
      <c r="A24" s="85" t="s">
        <v>43</v>
      </c>
      <c r="B24" s="2"/>
      <c r="C24" s="86" t="s">
        <v>23</v>
      </c>
      <c r="D24" s="347">
        <v>22250</v>
      </c>
      <c r="E24" s="347">
        <v>1983</v>
      </c>
      <c r="F24" s="347"/>
      <c r="G24" s="347">
        <v>113</v>
      </c>
      <c r="H24" s="347"/>
      <c r="I24" s="560"/>
      <c r="J24" s="560"/>
      <c r="K24" s="560"/>
      <c r="L24" s="571"/>
      <c r="M24" s="87" t="s">
        <v>23</v>
      </c>
    </row>
    <row r="25" spans="1:13" ht="12" customHeight="1">
      <c r="A25" s="85" t="s">
        <v>265</v>
      </c>
      <c r="B25" s="2"/>
      <c r="C25" s="75"/>
      <c r="D25" s="348"/>
      <c r="E25" s="348"/>
      <c r="F25" s="348"/>
      <c r="G25" s="348"/>
      <c r="H25" s="348"/>
      <c r="I25" s="559">
        <f>[2]!SP1000P200F2100</f>
        <v>26827</v>
      </c>
      <c r="J25" s="559">
        <f>SUM(D26:H26)</f>
        <v>19850</v>
      </c>
      <c r="K25" s="559">
        <f>[1]!SP1000P200F2100</f>
        <v>24664</v>
      </c>
      <c r="L25" s="570">
        <f>IF(J25=K25,0,IF(K25&gt;0,(J25-K25)/K25,"--"))</f>
        <v>-0.1952</v>
      </c>
      <c r="M25" s="35"/>
    </row>
    <row r="26" spans="1:13" ht="12" customHeight="1">
      <c r="A26" s="85" t="s">
        <v>259</v>
      </c>
      <c r="B26" s="2"/>
      <c r="C26" s="86" t="s">
        <v>24</v>
      </c>
      <c r="D26" s="347">
        <v>10625</v>
      </c>
      <c r="E26" s="347">
        <v>1537</v>
      </c>
      <c r="F26" s="347">
        <v>7688</v>
      </c>
      <c r="G26" s="347"/>
      <c r="H26" s="347"/>
      <c r="I26" s="560"/>
      <c r="J26" s="560"/>
      <c r="K26" s="560"/>
      <c r="L26" s="571"/>
      <c r="M26" s="87" t="s">
        <v>24</v>
      </c>
    </row>
    <row r="27" spans="1:13" ht="12" customHeight="1">
      <c r="A27" s="85" t="s">
        <v>239</v>
      </c>
      <c r="B27" s="2"/>
      <c r="C27" s="86" t="s">
        <v>26</v>
      </c>
      <c r="D27" s="76">
        <v>29800</v>
      </c>
      <c r="E27" s="17">
        <v>5792</v>
      </c>
      <c r="F27" s="76"/>
      <c r="G27" s="17"/>
      <c r="H27" s="76"/>
      <c r="I27" s="77">
        <f>[2]!SP1000P200F2200</f>
        <v>38615</v>
      </c>
      <c r="J27" s="77">
        <f aca="true" t="shared" si="4" ref="J27:J35">SUM(D27:H27)</f>
        <v>35592</v>
      </c>
      <c r="K27" s="77">
        <f>[1]!SP1000P200F2200</f>
        <v>0</v>
      </c>
      <c r="L27" s="279" t="str">
        <f>IF(J27=K27,0,IF(K27&gt;0,(J27-K27)/K27,"--"))</f>
        <v>--</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c r="E29" s="17"/>
      <c r="F29" s="76"/>
      <c r="G29" s="17"/>
      <c r="H29" s="76"/>
      <c r="I29" s="77">
        <f>[2]!SP1000P200F2400</f>
        <v>0</v>
      </c>
      <c r="J29" s="77">
        <f t="shared" si="4"/>
        <v>0</v>
      </c>
      <c r="K29" s="77">
        <f>[1]!SP1000P200F2400</f>
        <v>0</v>
      </c>
      <c r="L29" s="279">
        <f t="shared" si="5"/>
        <v>0</v>
      </c>
      <c r="M29" s="87" t="s">
        <v>28</v>
      </c>
    </row>
    <row r="30" spans="1:13" ht="12" customHeight="1">
      <c r="A30" s="85" t="s">
        <v>240</v>
      </c>
      <c r="B30" s="2"/>
      <c r="C30" s="86" t="s">
        <v>29</v>
      </c>
      <c r="D30" s="76"/>
      <c r="E30" s="17"/>
      <c r="F30" s="76"/>
      <c r="G30" s="17"/>
      <c r="H30" s="76"/>
      <c r="I30" s="77">
        <f>[2]!SP1000P200F2500</f>
        <v>0</v>
      </c>
      <c r="J30" s="77">
        <f>SUM(D30:H30)</f>
        <v>0</v>
      </c>
      <c r="K30" s="77">
        <f>[1]!SP1000P200F2500</f>
        <v>0</v>
      </c>
      <c r="L30" s="279">
        <f t="shared" si="5"/>
        <v>0</v>
      </c>
      <c r="M30" s="87" t="s">
        <v>29</v>
      </c>
    </row>
    <row r="31" spans="1:13" ht="12" customHeight="1">
      <c r="A31" s="85" t="s">
        <v>302</v>
      </c>
      <c r="B31" s="2"/>
      <c r="C31" s="86" t="s">
        <v>30</v>
      </c>
      <c r="D31" s="76"/>
      <c r="E31" s="17"/>
      <c r="F31" s="76"/>
      <c r="G31" s="17"/>
      <c r="H31" s="76"/>
      <c r="I31" s="77">
        <f>[2]!SP1000P200F2600</f>
        <v>0</v>
      </c>
      <c r="J31" s="77">
        <f>SUM(D31:H31)</f>
        <v>0</v>
      </c>
      <c r="K31" s="77">
        <f>[1]!SP1000P200F2600</f>
        <v>0</v>
      </c>
      <c r="L31" s="279">
        <f t="shared" si="5"/>
        <v>0</v>
      </c>
      <c r="M31" s="87" t="s">
        <v>30</v>
      </c>
    </row>
    <row r="32" spans="1:13" ht="12" customHeight="1">
      <c r="A32" s="85" t="s">
        <v>127</v>
      </c>
      <c r="B32" s="2"/>
      <c r="C32" s="86" t="s">
        <v>31</v>
      </c>
      <c r="D32" s="76"/>
      <c r="E32" s="17"/>
      <c r="F32" s="76"/>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K36">SUM(D23:D35)</f>
        <v>62675</v>
      </c>
      <c r="E36" s="23">
        <f t="shared" si="6"/>
        <v>9312</v>
      </c>
      <c r="F36" s="23">
        <f t="shared" si="6"/>
        <v>7688</v>
      </c>
      <c r="G36" s="23">
        <f t="shared" si="6"/>
        <v>113</v>
      </c>
      <c r="H36" s="23">
        <f t="shared" si="6"/>
        <v>0</v>
      </c>
      <c r="I36" s="43">
        <f t="shared" si="6"/>
        <v>77088</v>
      </c>
      <c r="J36" s="43">
        <f>SUM(J23:J35)</f>
        <v>79788</v>
      </c>
      <c r="K36" s="77">
        <f t="shared" si="6"/>
        <v>45817</v>
      </c>
      <c r="L36" s="279">
        <f t="shared" si="5"/>
        <v>0.7414</v>
      </c>
      <c r="M36" s="87" t="s">
        <v>79</v>
      </c>
    </row>
    <row r="37" spans="1:13" ht="12" customHeight="1">
      <c r="A37" s="91" t="s">
        <v>48</v>
      </c>
      <c r="B37" s="92"/>
      <c r="C37" s="93" t="s">
        <v>81</v>
      </c>
      <c r="D37" s="76"/>
      <c r="E37" s="17"/>
      <c r="F37" s="76"/>
      <c r="G37" s="17"/>
      <c r="H37" s="76"/>
      <c r="I37" s="77">
        <f>[2]!SP1000P400</f>
        <v>0</v>
      </c>
      <c r="J37" s="77">
        <f>SUM(D37:H37)</f>
        <v>0</v>
      </c>
      <c r="K37" s="77">
        <f>[1]!SP1000P400</f>
        <v>0</v>
      </c>
      <c r="L37" s="279">
        <f t="shared" si="5"/>
        <v>0</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v>12000</v>
      </c>
      <c r="E40" s="17">
        <v>1075</v>
      </c>
      <c r="F40" s="76"/>
      <c r="G40" s="17">
        <v>2000</v>
      </c>
      <c r="H40" s="76"/>
      <c r="I40" s="77">
        <f>[2]!SP1000P550</f>
        <v>28500</v>
      </c>
      <c r="J40" s="77">
        <f>SUM(D40:H40)</f>
        <v>15075</v>
      </c>
      <c r="K40" s="77">
        <f>[1]!SP1000P550</f>
        <v>14600</v>
      </c>
      <c r="L40" s="279">
        <f t="shared" si="5"/>
        <v>0.0325</v>
      </c>
      <c r="M40" s="87" t="s">
        <v>84</v>
      </c>
    </row>
    <row r="41" spans="1:13" ht="12" customHeight="1">
      <c r="A41" s="91" t="s">
        <v>437</v>
      </c>
      <c r="B41" s="92"/>
      <c r="C41" s="93" t="s">
        <v>87</v>
      </c>
      <c r="D41" s="23">
        <f aca="true" t="shared" si="7" ref="D41:I41">SUM(D37:D40)+D36+D22</f>
        <v>683221</v>
      </c>
      <c r="E41" s="23">
        <f t="shared" si="7"/>
        <v>111606</v>
      </c>
      <c r="F41" s="23">
        <f t="shared" si="7"/>
        <v>342899</v>
      </c>
      <c r="G41" s="23">
        <f t="shared" si="7"/>
        <v>119247</v>
      </c>
      <c r="H41" s="23">
        <f t="shared" si="7"/>
        <v>22284</v>
      </c>
      <c r="I41" s="43">
        <f t="shared" si="7"/>
        <v>1191146</v>
      </c>
      <c r="J41" s="23">
        <f>SUM(J36:J40)+J22</f>
        <v>1279257</v>
      </c>
      <c r="K41" s="77">
        <f>SUM(K22)+SUM(K36:K40)</f>
        <v>921658</v>
      </c>
      <c r="L41" s="279">
        <f t="shared" si="5"/>
        <v>0.388</v>
      </c>
      <c r="M41" s="87" t="s">
        <v>87</v>
      </c>
    </row>
    <row r="42" spans="1:13" ht="12" customHeight="1">
      <c r="A42" s="91" t="s">
        <v>210</v>
      </c>
      <c r="B42" s="92"/>
      <c r="C42" s="93" t="s">
        <v>88</v>
      </c>
      <c r="D42" s="43">
        <f>TotalCSP6100</f>
        <v>74509</v>
      </c>
      <c r="E42" s="43">
        <f>TotalCSP6200</f>
        <v>7741</v>
      </c>
      <c r="F42" s="43">
        <f>TotalCSP630064006500</f>
        <v>0</v>
      </c>
      <c r="G42" s="43">
        <f>TotalCSP6600</f>
        <v>0</v>
      </c>
      <c r="H42" s="94"/>
      <c r="I42" s="182">
        <f>[2]!SP1000ClassSiteProj</f>
        <v>76641</v>
      </c>
      <c r="J42" s="43">
        <f>SUM(D42:H42)</f>
        <v>82250</v>
      </c>
      <c r="K42" s="77">
        <f>[1]!SP1000ClassSiteProj</f>
        <v>45694</v>
      </c>
      <c r="L42" s="279">
        <f t="shared" si="5"/>
        <v>0.8</v>
      </c>
      <c r="M42" s="87" t="s">
        <v>88</v>
      </c>
    </row>
    <row r="43" spans="1:13" ht="12" customHeight="1">
      <c r="A43" s="91" t="s">
        <v>195</v>
      </c>
      <c r="B43" s="92"/>
      <c r="C43" s="93" t="s">
        <v>117</v>
      </c>
      <c r="D43" s="94"/>
      <c r="E43" s="94"/>
      <c r="F43" s="94"/>
      <c r="G43" s="94"/>
      <c r="H43" s="94"/>
      <c r="I43" s="182">
        <f>[2]!SP1000InstrImpProj</f>
        <v>9269</v>
      </c>
      <c r="J43" s="43">
        <f>ActualTotalInstImpExp</f>
        <v>6546</v>
      </c>
      <c r="K43" s="77">
        <f>[1]!SP1000InstrImpProj</f>
        <v>4352</v>
      </c>
      <c r="L43" s="279">
        <f t="shared" si="5"/>
        <v>0.5041</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494</v>
      </c>
      <c r="B46" s="451"/>
      <c r="C46" s="272" t="s">
        <v>196</v>
      </c>
      <c r="D46" s="276"/>
      <c r="E46" s="276"/>
      <c r="F46" s="276"/>
      <c r="G46" s="276"/>
      <c r="H46" s="276"/>
      <c r="I46" s="182">
        <f>[2]!SP1000FedStProj</f>
        <v>16862</v>
      </c>
      <c r="J46" s="95">
        <f>ActualTotalFederalAndStateProjects</f>
        <v>17031</v>
      </c>
      <c r="K46" s="77">
        <f>[1]!SP1000FedStProj</f>
        <v>11868</v>
      </c>
      <c r="L46" s="279">
        <f t="shared" si="5"/>
        <v>0.435</v>
      </c>
      <c r="M46" s="260" t="s">
        <v>196</v>
      </c>
      <c r="N46" s="47"/>
    </row>
    <row r="47" spans="1:14" ht="10.5" customHeight="1">
      <c r="A47" s="270" t="s">
        <v>438</v>
      </c>
      <c r="B47" s="271"/>
      <c r="C47" s="272" t="s">
        <v>232</v>
      </c>
      <c r="D47" s="276"/>
      <c r="E47" s="276"/>
      <c r="F47" s="276"/>
      <c r="G47" s="276"/>
      <c r="H47" s="276"/>
      <c r="I47" s="182">
        <f>SUM(I41:I46)</f>
        <v>1293918</v>
      </c>
      <c r="J47" s="95">
        <f>SUM(J41:J46)</f>
        <v>1385084</v>
      </c>
      <c r="K47" s="77">
        <f>SUM(K41:K46)</f>
        <v>983572</v>
      </c>
      <c r="L47" s="279">
        <f t="shared" si="5"/>
        <v>0.4082</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6:B46" location="FederalAndStateProjectsPage2" display="Federal and State Projects (from page 9, line 30)"/>
  </hyperlinks>
  <printOptions horizontalCentered="1"/>
  <pageMargins left="0.75" right="0.75" top="0.75" bottom="0.75" header="0.5" footer="0.5"/>
  <pageSetup fitToHeight="1" fitToWidth="1" horizontalDpi="600" verticalDpi="600" orientation="landscape" scale="76" r:id="rId2"/>
  <headerFooter alignWithMargins="0">
    <oddFooter>&amp;LRev. 8/18&amp;CFY 2018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H35" sqref="H35"/>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82" t="s">
        <v>0</v>
      </c>
      <c r="B1" s="582"/>
      <c r="C1" s="11" t="str">
        <f>'Cover Page'!D1</f>
        <v>SCOTTSDALE COUNTRY DAY SCHOOL</v>
      </c>
      <c r="F1" s="2"/>
      <c r="G1" s="4" t="s">
        <v>1</v>
      </c>
      <c r="H1" s="565" t="str">
        <f>'Cover Page'!M1</f>
        <v>MARICOPA </v>
      </c>
      <c r="I1" s="565"/>
      <c r="J1" s="2"/>
      <c r="L1" s="4" t="s">
        <v>138</v>
      </c>
      <c r="M1" s="576" t="str">
        <f>'Cover Page'!R1</f>
        <v>078243000</v>
      </c>
      <c r="N1" s="565"/>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84" t="s">
        <v>349</v>
      </c>
      <c r="C5" s="584"/>
      <c r="D5" s="584"/>
      <c r="E5" s="2"/>
      <c r="F5" s="2"/>
      <c r="G5" s="2"/>
      <c r="H5" s="17"/>
      <c r="I5" s="35" t="s">
        <v>6</v>
      </c>
      <c r="J5" s="39"/>
      <c r="K5" s="39"/>
      <c r="L5" s="39"/>
      <c r="M5" s="2"/>
    </row>
    <row r="6" spans="1:13" ht="12.75">
      <c r="A6" s="16" t="s">
        <v>7</v>
      </c>
      <c r="B6" s="584" t="s">
        <v>348</v>
      </c>
      <c r="C6" s="584"/>
      <c r="D6" s="584"/>
      <c r="E6" s="2"/>
      <c r="F6" s="2"/>
      <c r="G6" s="2"/>
      <c r="H6" s="17"/>
      <c r="I6" s="234" t="s">
        <v>7</v>
      </c>
      <c r="J6" s="39"/>
      <c r="K6" s="39"/>
      <c r="L6" s="39"/>
      <c r="M6" s="2"/>
    </row>
    <row r="7" spans="1:13" ht="12.75">
      <c r="A7" s="16" t="s">
        <v>8</v>
      </c>
      <c r="B7" s="578" t="s">
        <v>220</v>
      </c>
      <c r="C7" s="578"/>
      <c r="D7" s="578"/>
      <c r="E7" s="2"/>
      <c r="F7" s="2"/>
      <c r="G7" s="2"/>
      <c r="H7" s="17"/>
      <c r="I7" s="234" t="s">
        <v>8</v>
      </c>
      <c r="J7" s="38"/>
      <c r="K7" s="39"/>
      <c r="L7" s="39"/>
      <c r="M7" s="2"/>
    </row>
    <row r="8" spans="1:13" ht="12.75">
      <c r="A8" s="16" t="s">
        <v>9</v>
      </c>
      <c r="B8" s="578" t="s">
        <v>99</v>
      </c>
      <c r="C8" s="578"/>
      <c r="D8" s="578"/>
      <c r="E8" s="2"/>
      <c r="F8" s="2"/>
      <c r="G8" s="2"/>
      <c r="H8" s="17" t="s">
        <v>3</v>
      </c>
      <c r="I8" s="234" t="s">
        <v>9</v>
      </c>
      <c r="J8" s="39"/>
      <c r="K8" s="39"/>
      <c r="L8" s="39"/>
      <c r="M8" s="2"/>
    </row>
    <row r="9" spans="1:13" ht="12.75">
      <c r="A9" s="16" t="s">
        <v>10</v>
      </c>
      <c r="B9" s="578" t="s">
        <v>100</v>
      </c>
      <c r="C9" s="578"/>
      <c r="D9" s="2"/>
      <c r="E9" s="2"/>
      <c r="F9" s="2"/>
      <c r="G9" s="2"/>
      <c r="H9" s="17"/>
      <c r="I9" s="234" t="s">
        <v>10</v>
      </c>
      <c r="J9" s="40"/>
      <c r="K9" s="39"/>
      <c r="L9" s="39"/>
      <c r="M9" s="2"/>
    </row>
    <row r="10" spans="1:13" ht="12.75">
      <c r="A10" s="509" t="s">
        <v>11</v>
      </c>
      <c r="B10" s="578" t="s">
        <v>406</v>
      </c>
      <c r="C10" s="578"/>
      <c r="D10" s="2"/>
      <c r="E10" s="2"/>
      <c r="F10" s="2"/>
      <c r="G10" s="2"/>
      <c r="H10" s="67">
        <v>24499</v>
      </c>
      <c r="I10" s="35" t="s">
        <v>11</v>
      </c>
      <c r="J10" s="40"/>
      <c r="K10" s="39"/>
      <c r="L10" s="39"/>
      <c r="M10" s="2"/>
    </row>
    <row r="11" spans="1:13" ht="12.75">
      <c r="A11" s="10" t="s">
        <v>12</v>
      </c>
      <c r="B11" s="578" t="s">
        <v>253</v>
      </c>
      <c r="C11" s="578"/>
      <c r="D11" s="2"/>
      <c r="E11" s="2"/>
      <c r="F11" s="2"/>
      <c r="G11" s="2"/>
      <c r="H11" s="17">
        <v>139888</v>
      </c>
      <c r="I11" s="35" t="s">
        <v>12</v>
      </c>
      <c r="J11" s="39"/>
      <c r="K11" s="39"/>
      <c r="L11" s="39"/>
      <c r="M11" s="2"/>
    </row>
    <row r="12" spans="1:13" ht="12.75">
      <c r="A12" s="503" t="s">
        <v>14</v>
      </c>
      <c r="B12" s="578" t="s">
        <v>101</v>
      </c>
      <c r="C12" s="578"/>
      <c r="D12" s="577"/>
      <c r="E12" s="577"/>
      <c r="F12" s="577"/>
      <c r="G12" s="2"/>
      <c r="H12" s="17">
        <f>14570+37487.64</f>
        <v>52058</v>
      </c>
      <c r="I12" s="502" t="s">
        <v>14</v>
      </c>
      <c r="J12" s="39"/>
      <c r="K12" s="39"/>
      <c r="L12" s="39"/>
      <c r="M12" s="2"/>
    </row>
    <row r="13" spans="1:13" ht="12.75">
      <c r="A13" s="65" t="s">
        <v>15</v>
      </c>
      <c r="B13" s="579" t="s">
        <v>389</v>
      </c>
      <c r="C13" s="579"/>
      <c r="D13" s="2"/>
      <c r="E13" s="2"/>
      <c r="F13" s="2"/>
      <c r="G13" s="2"/>
      <c r="H13" s="43">
        <f>SUM(H5:H12)</f>
        <v>216445</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78" t="s">
        <v>211</v>
      </c>
      <c r="C15" s="578"/>
      <c r="D15" s="2"/>
      <c r="E15" s="2"/>
      <c r="F15" s="2"/>
      <c r="G15" s="2"/>
      <c r="H15" s="17"/>
      <c r="I15" s="87" t="s">
        <v>16</v>
      </c>
      <c r="J15" s="39"/>
      <c r="K15" s="39"/>
      <c r="L15" s="39"/>
      <c r="M15" s="2"/>
    </row>
    <row r="16" spans="1:13" ht="12.75">
      <c r="A16" s="65" t="s">
        <v>17</v>
      </c>
      <c r="B16" s="578" t="s">
        <v>212</v>
      </c>
      <c r="C16" s="578"/>
      <c r="D16" s="2"/>
      <c r="E16" s="2"/>
      <c r="F16" s="2"/>
      <c r="G16" s="2"/>
      <c r="H16" s="17"/>
      <c r="I16" s="87" t="s">
        <v>17</v>
      </c>
      <c r="J16" s="39"/>
      <c r="K16" s="39"/>
      <c r="L16" s="39"/>
      <c r="M16" s="2"/>
    </row>
    <row r="17" spans="1:13" ht="12.75">
      <c r="A17" s="65" t="s">
        <v>18</v>
      </c>
      <c r="B17" s="578" t="s">
        <v>102</v>
      </c>
      <c r="C17" s="578"/>
      <c r="D17" s="577"/>
      <c r="E17" s="577"/>
      <c r="F17" s="577"/>
      <c r="G17" s="2"/>
      <c r="H17" s="17"/>
      <c r="I17" s="87" t="s">
        <v>18</v>
      </c>
      <c r="J17" s="38"/>
      <c r="K17" s="38"/>
      <c r="L17" s="38"/>
      <c r="M17" s="12"/>
    </row>
    <row r="18" spans="1:13" ht="12.75">
      <c r="A18" s="65" t="s">
        <v>20</v>
      </c>
      <c r="B18" s="578" t="s">
        <v>390</v>
      </c>
      <c r="C18" s="578"/>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78" t="s">
        <v>103</v>
      </c>
      <c r="C20" s="578"/>
      <c r="D20" s="2"/>
      <c r="E20" s="2"/>
      <c r="F20" s="2"/>
      <c r="G20" s="2"/>
      <c r="H20" s="17">
        <v>1056214</v>
      </c>
      <c r="I20" s="87" t="s">
        <v>21</v>
      </c>
      <c r="J20" s="39"/>
      <c r="K20" s="39"/>
      <c r="L20" s="39"/>
      <c r="M20" s="2"/>
    </row>
    <row r="21" spans="1:13" ht="12.75">
      <c r="A21" s="503" t="s">
        <v>22</v>
      </c>
      <c r="B21" s="578" t="s">
        <v>214</v>
      </c>
      <c r="C21" s="578"/>
      <c r="D21" s="2"/>
      <c r="E21" s="2"/>
      <c r="F21" s="2"/>
      <c r="G21" s="2"/>
      <c r="H21" s="17">
        <v>7697</v>
      </c>
      <c r="I21" s="502" t="s">
        <v>22</v>
      </c>
      <c r="J21" s="39"/>
      <c r="K21" s="39"/>
      <c r="L21" s="39"/>
      <c r="M21" s="2"/>
    </row>
    <row r="22" spans="1:13" ht="12.75">
      <c r="A22" s="452" t="s">
        <v>23</v>
      </c>
      <c r="B22" s="580" t="s">
        <v>215</v>
      </c>
      <c r="C22" s="580"/>
      <c r="D22" s="2"/>
      <c r="E22" s="2"/>
      <c r="F22" s="2"/>
      <c r="G22" s="2"/>
      <c r="H22" s="17">
        <v>119042</v>
      </c>
      <c r="I22" s="502" t="s">
        <v>23</v>
      </c>
      <c r="J22" s="38"/>
      <c r="K22" s="38"/>
      <c r="L22" s="38"/>
      <c r="M22" s="12"/>
    </row>
    <row r="23" spans="1:13" ht="12.75">
      <c r="A23" s="503" t="s">
        <v>24</v>
      </c>
      <c r="B23" s="580" t="s">
        <v>213</v>
      </c>
      <c r="C23" s="580"/>
      <c r="D23" s="228"/>
      <c r="E23" s="228"/>
      <c r="F23" s="228"/>
      <c r="G23" s="228"/>
      <c r="H23" s="67" t="s">
        <v>3</v>
      </c>
      <c r="I23" s="502" t="s">
        <v>24</v>
      </c>
      <c r="J23" s="39"/>
      <c r="K23" s="39"/>
      <c r="L23" s="39"/>
      <c r="M23" s="2"/>
    </row>
    <row r="24" spans="1:13" ht="12.75">
      <c r="A24" s="503" t="s">
        <v>26</v>
      </c>
      <c r="B24" s="580" t="s">
        <v>104</v>
      </c>
      <c r="C24" s="580"/>
      <c r="D24" s="583"/>
      <c r="E24" s="583"/>
      <c r="F24" s="583"/>
      <c r="G24" s="228"/>
      <c r="H24" s="67"/>
      <c r="I24" s="502" t="s">
        <v>26</v>
      </c>
      <c r="J24" s="39"/>
      <c r="K24" s="39"/>
      <c r="L24" s="39"/>
      <c r="M24" s="2"/>
    </row>
    <row r="25" spans="1:13" ht="12.75">
      <c r="A25" s="503" t="s">
        <v>27</v>
      </c>
      <c r="B25" s="580" t="s">
        <v>391</v>
      </c>
      <c r="C25" s="580"/>
      <c r="D25" s="228"/>
      <c r="E25" s="228"/>
      <c r="F25" s="228"/>
      <c r="G25" s="228"/>
      <c r="H25" s="95">
        <f>SUM(H20:H24)</f>
        <v>1182953</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80" t="s">
        <v>216</v>
      </c>
      <c r="C27" s="580"/>
      <c r="D27" s="580"/>
      <c r="E27" s="580"/>
      <c r="F27" s="580"/>
      <c r="G27" s="228"/>
      <c r="H27" s="67"/>
      <c r="I27" s="260" t="s">
        <v>28</v>
      </c>
      <c r="J27" s="39"/>
      <c r="K27" s="39"/>
      <c r="L27" s="39"/>
      <c r="M27" s="2"/>
    </row>
    <row r="28" spans="1:13" ht="12.75">
      <c r="A28" s="256" t="s">
        <v>29</v>
      </c>
      <c r="B28" s="580" t="s">
        <v>217</v>
      </c>
      <c r="C28" s="580"/>
      <c r="D28" s="580"/>
      <c r="E28" s="580"/>
      <c r="F28" s="580"/>
      <c r="G28" s="228"/>
      <c r="H28" s="67">
        <v>17031</v>
      </c>
      <c r="I28" s="260" t="s">
        <v>29</v>
      </c>
      <c r="J28" s="38"/>
      <c r="K28" s="38"/>
      <c r="L28" s="39"/>
      <c r="M28" s="2"/>
    </row>
    <row r="29" spans="1:13" ht="12.75">
      <c r="A29" s="65" t="s">
        <v>30</v>
      </c>
      <c r="B29" s="580" t="s">
        <v>283</v>
      </c>
      <c r="C29" s="580"/>
      <c r="D29" s="580"/>
      <c r="E29" s="580"/>
      <c r="F29" s="580"/>
      <c r="G29" s="581"/>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80" t="s">
        <v>105</v>
      </c>
      <c r="C31" s="580"/>
      <c r="D31" s="580"/>
      <c r="E31" s="580"/>
      <c r="F31" s="580"/>
      <c r="G31" s="581"/>
      <c r="H31" s="67"/>
      <c r="I31" s="87" t="s">
        <v>32</v>
      </c>
      <c r="J31" s="39"/>
      <c r="K31" s="39"/>
      <c r="L31" s="39"/>
      <c r="M31" s="2"/>
    </row>
    <row r="32" spans="1:13" ht="12.75">
      <c r="A32" s="65" t="s">
        <v>77</v>
      </c>
      <c r="B32" s="578" t="s">
        <v>106</v>
      </c>
      <c r="C32" s="578"/>
      <c r="D32" s="577"/>
      <c r="E32" s="577"/>
      <c r="F32" s="577"/>
      <c r="G32" s="2"/>
      <c r="H32" s="17"/>
      <c r="I32" s="87" t="s">
        <v>77</v>
      </c>
      <c r="J32" s="39"/>
      <c r="K32" s="39"/>
      <c r="L32" s="39"/>
      <c r="M32" s="2"/>
    </row>
    <row r="33" spans="1:13" ht="12.75">
      <c r="A33" s="65" t="s">
        <v>78</v>
      </c>
      <c r="B33" s="578" t="s">
        <v>392</v>
      </c>
      <c r="C33" s="578"/>
      <c r="D33" s="2"/>
      <c r="E33" s="2"/>
      <c r="F33" s="2"/>
      <c r="G33" s="2"/>
      <c r="H33" s="23">
        <f>SUM(H27:H32)</f>
        <v>17031</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79" t="s">
        <v>388</v>
      </c>
      <c r="C35" s="579"/>
      <c r="D35" s="579"/>
      <c r="E35" s="2"/>
      <c r="F35" s="2"/>
      <c r="G35" s="2"/>
      <c r="H35" s="23">
        <f>SUM(H13,H18,H25,H33)</f>
        <v>1416429</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0.75" right="0.75" top="0.75" bottom="0.75" header="0.5" footer="0.5"/>
  <pageSetup fitToHeight="1" fitToWidth="1" horizontalDpi="600" verticalDpi="600" orientation="landscape" scale="80" r:id="rId2"/>
  <headerFooter alignWithMargins="0">
    <oddFooter>&amp;LRev. 8/18&amp;CFY 2018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
      <selection activeCell="J27" sqref="A24:J27"/>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SCOTTSDALE COUNTRY DAY SCHOOL</v>
      </c>
      <c r="E1" s="101"/>
      <c r="F1" s="103" t="s">
        <v>141</v>
      </c>
      <c r="G1" s="100" t="str">
        <f>'Cover Page'!M1</f>
        <v>MARICOPA </v>
      </c>
      <c r="H1" s="104"/>
      <c r="I1" s="103" t="s">
        <v>138</v>
      </c>
      <c r="J1" s="105" t="str">
        <f>'Cover Page'!R1</f>
        <v>078243000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85" t="s">
        <v>143</v>
      </c>
      <c r="I4" s="586"/>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88">
        <f>[2]!CSP1011P100F1000</f>
        <v>14959</v>
      </c>
      <c r="I7" s="587">
        <f>SUM(F9:G9)</f>
        <v>14487</v>
      </c>
      <c r="J7" s="74"/>
      <c r="K7" s="74"/>
    </row>
    <row r="8" spans="1:11" ht="12.75" customHeight="1">
      <c r="A8" s="123"/>
      <c r="B8" s="107" t="s">
        <v>36</v>
      </c>
      <c r="C8" s="107"/>
      <c r="D8" s="107"/>
      <c r="E8" s="124"/>
      <c r="F8" s="352"/>
      <c r="G8" s="352"/>
      <c r="H8" s="588"/>
      <c r="I8" s="588"/>
      <c r="J8" s="74"/>
      <c r="K8" s="74"/>
    </row>
    <row r="9" spans="1:11" ht="12.75" customHeight="1">
      <c r="A9" s="123"/>
      <c r="B9" s="107"/>
      <c r="C9" s="107" t="s">
        <v>201</v>
      </c>
      <c r="D9" s="107"/>
      <c r="E9" s="124">
        <v>1</v>
      </c>
      <c r="F9" s="125">
        <v>12350</v>
      </c>
      <c r="G9" s="125">
        <v>2137</v>
      </c>
      <c r="H9" s="589"/>
      <c r="I9" s="589"/>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12350</v>
      </c>
      <c r="G12" s="128">
        <f>SUM(G7:G11)</f>
        <v>2137</v>
      </c>
      <c r="H12" s="102">
        <f>SUM(H7:H11)</f>
        <v>14959</v>
      </c>
      <c r="I12" s="102">
        <f>SUM(I7:I11)</f>
        <v>14487</v>
      </c>
      <c r="J12" s="129" t="s">
        <v>9</v>
      </c>
    </row>
    <row r="13" spans="1:11" ht="12.75" customHeight="1">
      <c r="A13" s="123"/>
      <c r="B13" s="107" t="s">
        <v>42</v>
      </c>
      <c r="C13" s="107"/>
      <c r="D13" s="107"/>
      <c r="E13" s="124"/>
      <c r="F13" s="352"/>
      <c r="G13" s="352"/>
      <c r="H13" s="588">
        <f>[2]!CSP1011P200F1000</f>
        <v>0</v>
      </c>
      <c r="I13" s="587">
        <f>SUM(F14:G14)</f>
        <v>0</v>
      </c>
      <c r="J13" s="126"/>
      <c r="K13" s="74"/>
    </row>
    <row r="14" spans="1:11" ht="12.75" customHeight="1">
      <c r="A14" s="123"/>
      <c r="B14" s="107"/>
      <c r="C14" s="107" t="s">
        <v>201</v>
      </c>
      <c r="D14" s="107"/>
      <c r="E14" s="124">
        <v>5</v>
      </c>
      <c r="F14" s="353"/>
      <c r="G14" s="137"/>
      <c r="H14" s="589"/>
      <c r="I14" s="589"/>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88">
        <f>[2]!CSP1011POtherF1000</f>
        <v>0</v>
      </c>
      <c r="I18" s="587">
        <f>SUM(F19:G19)</f>
        <v>0</v>
      </c>
      <c r="J18" s="129"/>
    </row>
    <row r="19" spans="1:11" ht="12.75" customHeight="1">
      <c r="A19" s="123"/>
      <c r="B19" s="107"/>
      <c r="C19" s="107" t="s">
        <v>201</v>
      </c>
      <c r="D19" s="107"/>
      <c r="E19" s="124">
        <v>9</v>
      </c>
      <c r="F19" s="353"/>
      <c r="G19" s="137"/>
      <c r="H19" s="589"/>
      <c r="I19" s="589"/>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12350</v>
      </c>
      <c r="G23" s="133">
        <f>G12+G17+G22</f>
        <v>2137</v>
      </c>
      <c r="H23" s="133">
        <f>H12+H17+H22</f>
        <v>14959</v>
      </c>
      <c r="I23" s="133">
        <f>I12+I17+I22</f>
        <v>14487</v>
      </c>
      <c r="J23" s="126" t="s">
        <v>20</v>
      </c>
      <c r="K23" s="74"/>
    </row>
    <row r="24" spans="1:11" ht="12" customHeight="1">
      <c r="A24" s="122" t="s">
        <v>152</v>
      </c>
      <c r="B24" s="107"/>
      <c r="C24" s="107"/>
      <c r="D24" s="107"/>
      <c r="E24" s="107"/>
      <c r="F24" s="341"/>
      <c r="G24" s="341"/>
      <c r="H24" s="587">
        <f>[2]!CSP1012P100F1000</f>
        <v>28574</v>
      </c>
      <c r="I24" s="588">
        <f>SUM(F26:G26)</f>
        <v>38668</v>
      </c>
      <c r="J24" s="126"/>
      <c r="K24" s="74"/>
    </row>
    <row r="25" spans="1:11" ht="12" customHeight="1">
      <c r="A25" s="123"/>
      <c r="B25" s="107" t="s">
        <v>36</v>
      </c>
      <c r="C25" s="107"/>
      <c r="D25" s="107"/>
      <c r="E25" s="124"/>
      <c r="F25" s="352"/>
      <c r="G25" s="352"/>
      <c r="H25" s="588"/>
      <c r="I25" s="588"/>
      <c r="J25" s="126"/>
      <c r="K25" s="74"/>
    </row>
    <row r="26" spans="1:11" ht="12.75">
      <c r="A26" s="123"/>
      <c r="B26" s="107"/>
      <c r="C26" s="107" t="s">
        <v>201</v>
      </c>
      <c r="D26" s="107"/>
      <c r="E26" s="124">
        <v>14</v>
      </c>
      <c r="F26" s="137">
        <v>37273</v>
      </c>
      <c r="G26" s="137">
        <v>1395</v>
      </c>
      <c r="H26" s="589"/>
      <c r="I26" s="589"/>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37273</v>
      </c>
      <c r="G29" s="138">
        <f>SUM(G24:G28)</f>
        <v>1395</v>
      </c>
      <c r="H29" s="132">
        <f>SUM(H24:H28)</f>
        <v>28574</v>
      </c>
      <c r="I29" s="132">
        <f>SUM(I24:I28)</f>
        <v>38668</v>
      </c>
      <c r="J29" s="129" t="s">
        <v>24</v>
      </c>
    </row>
    <row r="30" spans="1:11" ht="12" customHeight="1">
      <c r="A30" s="123"/>
      <c r="B30" s="107" t="s">
        <v>42</v>
      </c>
      <c r="C30" s="107"/>
      <c r="D30" s="107"/>
      <c r="E30" s="124"/>
      <c r="F30" s="352"/>
      <c r="G30" s="352"/>
      <c r="H30" s="588">
        <f>[2]!CSP1012P200F1000</f>
        <v>0</v>
      </c>
      <c r="I30" s="587">
        <f>SUM(F31:G31)</f>
        <v>0</v>
      </c>
      <c r="J30" s="126"/>
      <c r="K30" s="74"/>
    </row>
    <row r="31" spans="1:11" ht="12" customHeight="1">
      <c r="A31" s="123"/>
      <c r="B31" s="107"/>
      <c r="C31" s="107" t="s">
        <v>201</v>
      </c>
      <c r="D31" s="107"/>
      <c r="E31" s="124">
        <v>18</v>
      </c>
      <c r="F31" s="353"/>
      <c r="G31" s="137"/>
      <c r="H31" s="589"/>
      <c r="I31" s="589"/>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88">
        <f>[2]!CSP1012POtherF1000</f>
        <v>0</v>
      </c>
      <c r="I35" s="587">
        <f>SUM(F36:G36)</f>
        <v>0</v>
      </c>
      <c r="J35" s="129"/>
    </row>
    <row r="36" spans="1:11" ht="12" customHeight="1">
      <c r="A36" s="123"/>
      <c r="B36" s="107"/>
      <c r="C36" s="107" t="s">
        <v>201</v>
      </c>
      <c r="D36" s="107"/>
      <c r="E36" s="124">
        <v>22</v>
      </c>
      <c r="F36" s="340"/>
      <c r="G36" s="137"/>
      <c r="H36" s="589"/>
      <c r="I36" s="589"/>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37273</v>
      </c>
      <c r="G40" s="139">
        <f>G29+G34+G39</f>
        <v>1395</v>
      </c>
      <c r="H40" s="139">
        <f>H29+H34+H39</f>
        <v>28574</v>
      </c>
      <c r="I40" s="139">
        <f>I29+I34+I39</f>
        <v>38668</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7:H9"/>
    <mergeCell ref="H35:H36"/>
    <mergeCell ref="H24:H26"/>
    <mergeCell ref="H4:I4"/>
    <mergeCell ref="I7:I9"/>
    <mergeCell ref="I13:I14"/>
    <mergeCell ref="I18:I19"/>
    <mergeCell ref="H13:H14"/>
    <mergeCell ref="I35:I36"/>
    <mergeCell ref="I24:I26"/>
    <mergeCell ref="H30:H31"/>
    <mergeCell ref="I30:I31"/>
    <mergeCell ref="H18:H19"/>
  </mergeCells>
  <printOptions horizontalCentered="1"/>
  <pageMargins left="0.75" right="0.75" top="0.75" bottom="0.75" header="0.5" footer="0.5"/>
  <pageSetup fitToHeight="1" fitToWidth="1" horizontalDpi="600" verticalDpi="600" orientation="landscape" scale="93" r:id="rId1"/>
  <headerFooter alignWithMargins="0">
    <oddFooter>&amp;LRev. 8/18&amp;CFY 2018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9">
      <selection activeCell="I37" sqref="I37"/>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592" t="str">
        <f>'Cover Page'!D1</f>
        <v>SCOTTSDALE COUNTRY DAY SCHOOL</v>
      </c>
      <c r="E1" s="592"/>
      <c r="F1" s="104"/>
      <c r="G1" s="103" t="s">
        <v>141</v>
      </c>
      <c r="H1" s="100" t="str">
        <f>'Cover Page'!M1</f>
        <v>MARICOPA </v>
      </c>
      <c r="J1" s="103" t="s">
        <v>138</v>
      </c>
      <c r="K1" s="596" t="str">
        <f>'Cover Page'!R1</f>
        <v>078243000</v>
      </c>
      <c r="L1" s="596"/>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590"/>
      <c r="B4" s="590"/>
      <c r="C4" s="590"/>
      <c r="D4" s="590"/>
      <c r="E4" s="590"/>
      <c r="F4" s="590"/>
      <c r="G4" s="590"/>
      <c r="H4" s="590"/>
      <c r="I4" s="591"/>
      <c r="J4" s="591"/>
      <c r="K4" s="591"/>
      <c r="L4" s="107"/>
    </row>
    <row r="5" spans="1:12" ht="12.75">
      <c r="A5" s="145"/>
      <c r="B5" s="146"/>
      <c r="C5" s="146"/>
      <c r="D5" s="146"/>
      <c r="E5" s="147"/>
      <c r="F5" s="148"/>
      <c r="G5" s="148"/>
      <c r="H5" s="593" t="s">
        <v>157</v>
      </c>
      <c r="I5" s="148"/>
      <c r="J5" s="585" t="s">
        <v>143</v>
      </c>
      <c r="K5" s="586"/>
      <c r="L5" s="99"/>
    </row>
    <row r="6" spans="1:12" ht="12.75">
      <c r="A6" s="113" t="s">
        <v>113</v>
      </c>
      <c r="B6" s="107"/>
      <c r="C6" s="107"/>
      <c r="D6" s="107"/>
      <c r="E6" s="114"/>
      <c r="F6" s="115" t="s">
        <v>144</v>
      </c>
      <c r="G6" s="115" t="s">
        <v>158</v>
      </c>
      <c r="H6" s="594"/>
      <c r="I6" s="115" t="s">
        <v>159</v>
      </c>
      <c r="J6" s="115"/>
      <c r="K6" s="115"/>
      <c r="L6" s="99"/>
    </row>
    <row r="7" spans="1:12" ht="12.75">
      <c r="A7" s="117"/>
      <c r="B7" s="118"/>
      <c r="C7" s="118"/>
      <c r="D7" s="118"/>
      <c r="E7" s="119"/>
      <c r="F7" s="120">
        <v>6100</v>
      </c>
      <c r="G7" s="120">
        <v>6200</v>
      </c>
      <c r="H7" s="595"/>
      <c r="I7" s="120">
        <v>6600</v>
      </c>
      <c r="J7" s="120" t="s">
        <v>162</v>
      </c>
      <c r="K7" s="120" t="s">
        <v>163</v>
      </c>
      <c r="L7" s="99"/>
    </row>
    <row r="8" spans="1:12" ht="12.75">
      <c r="A8" s="122" t="s">
        <v>160</v>
      </c>
      <c r="B8" s="107"/>
      <c r="C8" s="107"/>
      <c r="D8" s="107"/>
      <c r="E8" s="136"/>
      <c r="F8" s="342"/>
      <c r="G8" s="342"/>
      <c r="H8" s="342"/>
      <c r="I8" s="342"/>
      <c r="J8" s="597">
        <f>[2]!CSP1013P100F1000</f>
        <v>33108</v>
      </c>
      <c r="K8" s="602">
        <f>SUM(F10:I10)</f>
        <v>29095</v>
      </c>
      <c r="L8" s="143"/>
    </row>
    <row r="9" spans="1:12" ht="12.75">
      <c r="A9" s="123"/>
      <c r="B9" s="107" t="s">
        <v>36</v>
      </c>
      <c r="C9" s="107"/>
      <c r="D9" s="107"/>
      <c r="E9" s="107"/>
      <c r="F9" s="355"/>
      <c r="G9" s="355"/>
      <c r="H9" s="355"/>
      <c r="I9" s="355"/>
      <c r="J9" s="598"/>
      <c r="K9" s="603"/>
      <c r="L9" s="123"/>
    </row>
    <row r="10" spans="1:12" ht="12.75">
      <c r="A10" s="123"/>
      <c r="B10" s="107"/>
      <c r="C10" s="107" t="s">
        <v>201</v>
      </c>
      <c r="D10" s="107"/>
      <c r="E10" s="124">
        <v>1</v>
      </c>
      <c r="F10" s="354">
        <v>24886</v>
      </c>
      <c r="G10" s="354">
        <v>4209</v>
      </c>
      <c r="H10" s="354"/>
      <c r="I10" s="354"/>
      <c r="J10" s="599"/>
      <c r="K10" s="604"/>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c r="G12" s="152"/>
      <c r="H12" s="152"/>
      <c r="I12" s="152"/>
      <c r="J12" s="184">
        <f>[2]!CSP1013P100F2200</f>
        <v>0</v>
      </c>
      <c r="K12" s="149">
        <f>SUM(F12:I12)</f>
        <v>0</v>
      </c>
      <c r="L12" s="150">
        <v>3</v>
      </c>
    </row>
    <row r="13" spans="1:12" s="47" customFormat="1" ht="12.75">
      <c r="A13" s="232"/>
      <c r="B13" s="231" t="s">
        <v>148</v>
      </c>
      <c r="C13" s="231"/>
      <c r="D13" s="231"/>
      <c r="E13" s="421">
        <v>4</v>
      </c>
      <c r="F13" s="154">
        <f aca="true" t="shared" si="0" ref="F13:K13">SUM(F8:F12)</f>
        <v>24886</v>
      </c>
      <c r="G13" s="154">
        <f t="shared" si="0"/>
        <v>4209</v>
      </c>
      <c r="H13" s="154">
        <f t="shared" si="0"/>
        <v>0</v>
      </c>
      <c r="I13" s="154">
        <f t="shared" si="0"/>
        <v>0</v>
      </c>
      <c r="J13" s="154">
        <f t="shared" si="0"/>
        <v>33108</v>
      </c>
      <c r="K13" s="154">
        <f t="shared" si="0"/>
        <v>29095</v>
      </c>
      <c r="L13" s="214">
        <v>4</v>
      </c>
    </row>
    <row r="14" spans="1:12" ht="12.75">
      <c r="A14" s="145"/>
      <c r="B14" s="230" t="s">
        <v>42</v>
      </c>
      <c r="C14" s="230"/>
      <c r="D14" s="107"/>
      <c r="E14" s="124"/>
      <c r="F14" s="341"/>
      <c r="G14" s="341"/>
      <c r="H14" s="341"/>
      <c r="I14" s="341"/>
      <c r="J14" s="597">
        <f>[2]!CSP1013P200F1000</f>
        <v>0</v>
      </c>
      <c r="K14" s="602">
        <f>SUM(F15:I15)</f>
        <v>0</v>
      </c>
      <c r="L14" s="150"/>
    </row>
    <row r="15" spans="1:12" ht="12.75">
      <c r="A15" s="232"/>
      <c r="B15" s="230"/>
      <c r="C15" s="230" t="s">
        <v>201</v>
      </c>
      <c r="D15" s="107"/>
      <c r="E15" s="124">
        <v>5</v>
      </c>
      <c r="F15" s="125"/>
      <c r="G15" s="125"/>
      <c r="H15" s="125"/>
      <c r="I15" s="125"/>
      <c r="J15" s="599"/>
      <c r="K15" s="604"/>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605">
        <v>9</v>
      </c>
      <c r="F19" s="341"/>
      <c r="G19" s="341"/>
      <c r="H19" s="341"/>
      <c r="I19" s="341"/>
      <c r="J19" s="616">
        <f>[2]!CSP1013P530F1000</f>
        <v>0</v>
      </c>
      <c r="K19" s="600">
        <f>SUM(F20:I20)</f>
        <v>0</v>
      </c>
      <c r="L19" s="150"/>
    </row>
    <row r="20" spans="1:12" ht="12.75">
      <c r="A20" s="123"/>
      <c r="B20" s="118"/>
      <c r="C20" s="118" t="s">
        <v>201</v>
      </c>
      <c r="D20" s="118"/>
      <c r="E20" s="606"/>
      <c r="F20" s="125"/>
      <c r="G20" s="125"/>
      <c r="H20" s="125"/>
      <c r="I20" s="125"/>
      <c r="J20" s="617"/>
      <c r="K20" s="601"/>
      <c r="L20" s="150">
        <v>9</v>
      </c>
    </row>
    <row r="21" spans="1:12" ht="12.75">
      <c r="A21" s="422"/>
      <c r="B21" s="107" t="s">
        <v>164</v>
      </c>
      <c r="C21" s="107"/>
      <c r="D21" s="227"/>
      <c r="E21" s="183"/>
      <c r="F21" s="341"/>
      <c r="G21" s="341"/>
      <c r="H21" s="341"/>
      <c r="I21" s="341"/>
      <c r="J21" s="616">
        <f>[2]!CSP1013POtherF1000</f>
        <v>0</v>
      </c>
      <c r="K21" s="600">
        <f>SUM(F22:I22)</f>
        <v>0</v>
      </c>
      <c r="L21" s="150"/>
    </row>
    <row r="22" spans="1:12" ht="12.75">
      <c r="A22" s="123"/>
      <c r="B22" s="107"/>
      <c r="C22" s="107" t="s">
        <v>201</v>
      </c>
      <c r="D22" s="107"/>
      <c r="E22" s="155">
        <v>10</v>
      </c>
      <c r="F22" s="125"/>
      <c r="G22" s="125"/>
      <c r="H22" s="125"/>
      <c r="I22" s="125"/>
      <c r="J22" s="617"/>
      <c r="K22" s="601"/>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24886</v>
      </c>
      <c r="G25" s="154">
        <f>+G13+G18+G20+G24</f>
        <v>4209</v>
      </c>
      <c r="H25" s="154">
        <f>+H13+H18+H20+H24</f>
        <v>0</v>
      </c>
      <c r="I25" s="154">
        <f>+I13+I18+I20+I24</f>
        <v>0</v>
      </c>
      <c r="J25" s="154">
        <f>J13+J18+J19+J24</f>
        <v>33108</v>
      </c>
      <c r="K25" s="154">
        <f>+K13+K18+K19+K24</f>
        <v>29095</v>
      </c>
      <c r="L25" s="150">
        <v>13</v>
      </c>
    </row>
    <row r="26" spans="1:13" ht="12.75">
      <c r="A26" s="614" t="s">
        <v>206</v>
      </c>
      <c r="B26" s="615"/>
      <c r="C26" s="615"/>
      <c r="D26" s="615"/>
      <c r="E26" s="127">
        <v>14</v>
      </c>
      <c r="F26" s="154">
        <f>CSP1011O6100+CSP1012O6100+CSP1013O6100</f>
        <v>74509</v>
      </c>
      <c r="G26" s="154">
        <f>CSP1011O6200+CSP1012O6200+CSP1013O6200</f>
        <v>7741</v>
      </c>
      <c r="H26" s="154">
        <f>CSP1013O630064006500</f>
        <v>0</v>
      </c>
      <c r="I26" s="154">
        <f>CSP1013O6600</f>
        <v>0</v>
      </c>
      <c r="J26" s="154">
        <f>CSP1011Budg+CSP1012Budg+CSP1013Budg</f>
        <v>76641</v>
      </c>
      <c r="K26" s="154">
        <f>CSP1011Act+CSP1012Act+CSP1013Act</f>
        <v>82250</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607" t="s">
        <v>174</v>
      </c>
      <c r="B28" s="608"/>
      <c r="C28" s="608"/>
      <c r="D28" s="608"/>
      <c r="E28" s="609"/>
      <c r="F28" s="174" t="s">
        <v>176</v>
      </c>
      <c r="G28" s="175"/>
      <c r="H28" s="176"/>
      <c r="I28" s="36"/>
      <c r="J28" s="2"/>
      <c r="K28" s="2"/>
      <c r="L28" s="22"/>
    </row>
    <row r="29" spans="1:12" ht="12.75">
      <c r="A29" s="610"/>
      <c r="B29" s="611"/>
      <c r="C29" s="611"/>
      <c r="D29" s="611"/>
      <c r="E29" s="611"/>
      <c r="F29" s="177"/>
      <c r="G29" s="178" t="s">
        <v>344</v>
      </c>
      <c r="H29" s="177"/>
      <c r="I29" s="36"/>
      <c r="J29" s="2"/>
      <c r="K29" s="2"/>
      <c r="L29" s="22"/>
    </row>
    <row r="30" spans="1:12" ht="12.75">
      <c r="A30" s="612"/>
      <c r="B30" s="613"/>
      <c r="C30" s="613"/>
      <c r="D30" s="613"/>
      <c r="E30" s="613"/>
      <c r="F30" s="32" t="s">
        <v>343</v>
      </c>
      <c r="G30" s="173" t="s">
        <v>177</v>
      </c>
      <c r="H30" s="32" t="s">
        <v>345</v>
      </c>
      <c r="I30" s="161"/>
      <c r="J30" s="22"/>
      <c r="K30" s="22"/>
      <c r="L30" s="22"/>
    </row>
    <row r="31" spans="1:12" ht="12.75">
      <c r="A31" s="162" t="s">
        <v>187</v>
      </c>
      <c r="B31" s="163"/>
      <c r="C31" s="163"/>
      <c r="D31" s="163"/>
      <c r="E31" s="166">
        <v>15</v>
      </c>
      <c r="F31" s="241">
        <f>[1]!CSP1011EndBal</f>
        <v>7</v>
      </c>
      <c r="G31" s="241">
        <f>[1]!CSP1012EndBal</f>
        <v>9224</v>
      </c>
      <c r="H31" s="241">
        <f>[1]!CSP1013EndBal</f>
        <v>1</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15929</v>
      </c>
      <c r="G33" s="344">
        <v>31858</v>
      </c>
      <c r="H33" s="344">
        <v>31858</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15929</v>
      </c>
      <c r="G35" s="170">
        <f>G33+G34</f>
        <v>31858</v>
      </c>
      <c r="H35" s="170">
        <f>H33+H34</f>
        <v>31858</v>
      </c>
      <c r="I35" s="167">
        <v>18</v>
      </c>
    </row>
    <row r="36" spans="1:9" ht="12.75">
      <c r="A36" s="168" t="s">
        <v>208</v>
      </c>
      <c r="B36" s="36"/>
      <c r="C36" s="36"/>
      <c r="D36" s="36"/>
      <c r="E36" s="166">
        <v>19</v>
      </c>
      <c r="F36" s="170">
        <f>F31+F35</f>
        <v>15936</v>
      </c>
      <c r="G36" s="170">
        <f>G31+G35</f>
        <v>41082</v>
      </c>
      <c r="H36" s="170">
        <f>H31+H35</f>
        <v>31859</v>
      </c>
      <c r="I36" s="167">
        <v>19</v>
      </c>
    </row>
    <row r="37" spans="1:9" ht="12.75">
      <c r="A37" s="168" t="s">
        <v>347</v>
      </c>
      <c r="B37" s="36"/>
      <c r="C37" s="36"/>
      <c r="D37" s="36"/>
      <c r="E37" s="166">
        <v>20</v>
      </c>
      <c r="F37" s="170">
        <f>CSP1011Act</f>
        <v>14487</v>
      </c>
      <c r="G37" s="170">
        <f>CSP1012Act</f>
        <v>38668</v>
      </c>
      <c r="H37" s="170">
        <f>CSP1013Act</f>
        <v>29095</v>
      </c>
      <c r="I37" s="167">
        <v>20</v>
      </c>
    </row>
    <row r="38" spans="1:9" ht="12.75">
      <c r="A38" s="169" t="s">
        <v>219</v>
      </c>
      <c r="B38" s="158"/>
      <c r="C38" s="158"/>
      <c r="D38" s="158"/>
      <c r="E38" s="215">
        <v>21</v>
      </c>
      <c r="F38" s="170">
        <f>F36-F37</f>
        <v>1449</v>
      </c>
      <c r="G38" s="170">
        <f>G36-G37</f>
        <v>2414</v>
      </c>
      <c r="H38" s="170">
        <f>H36-H37</f>
        <v>2764</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0.75" right="0.75" top="0.75" bottom="0.75" header="0.5" footer="0.5"/>
  <pageSetup fitToHeight="1" fitToWidth="1" horizontalDpi="600" verticalDpi="600" orientation="landscape" scale="10" r:id="rId1"/>
  <headerFooter alignWithMargins="0">
    <oddFooter>&amp;LRev. 8/18&amp;CFY 2018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G16" sqref="G16"/>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592" t="str">
        <f>'Cover Page'!D1</f>
        <v>SCOTTSDALE COUNTRY DAY SCHOOL</v>
      </c>
      <c r="D1" s="592"/>
      <c r="F1" s="104"/>
      <c r="G1" s="103" t="s">
        <v>141</v>
      </c>
      <c r="H1" s="592" t="str">
        <f>'Cover Page'!M1</f>
        <v>MARICOPA </v>
      </c>
      <c r="I1" s="592"/>
      <c r="J1" s="104"/>
      <c r="K1" s="103"/>
      <c r="L1" s="103" t="s">
        <v>138</v>
      </c>
      <c r="M1" s="105" t="str">
        <f>'Cover Page'!R1</f>
        <v>078243000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85" t="s">
        <v>143</v>
      </c>
      <c r="I3" s="586"/>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18">
        <f>[2]!IIPTeacherCompensationIncreases</f>
        <v>0</v>
      </c>
      <c r="I6" s="618">
        <f>SUM(F7:G7)</f>
        <v>0</v>
      </c>
      <c r="J6" s="364"/>
      <c r="K6" s="99"/>
    </row>
    <row r="7" spans="1:11" ht="12.75" customHeight="1">
      <c r="A7" s="123"/>
      <c r="B7" s="107" t="s">
        <v>191</v>
      </c>
      <c r="C7" s="107"/>
      <c r="D7" s="107"/>
      <c r="E7" s="155">
        <v>1</v>
      </c>
      <c r="F7" s="354"/>
      <c r="G7" s="354"/>
      <c r="H7" s="619"/>
      <c r="I7" s="619"/>
      <c r="J7" s="185">
        <v>1</v>
      </c>
      <c r="K7" s="107"/>
    </row>
    <row r="8" spans="1:11" ht="12.75" customHeight="1">
      <c r="A8" s="123"/>
      <c r="B8" s="107" t="s">
        <v>192</v>
      </c>
      <c r="C8" s="107"/>
      <c r="D8" s="107"/>
      <c r="E8" s="155">
        <v>2</v>
      </c>
      <c r="F8" s="315"/>
      <c r="G8" s="368"/>
      <c r="H8" s="154">
        <f>[2]!IIPClassSizeReduction</f>
        <v>9269</v>
      </c>
      <c r="I8" s="149">
        <f>SUM(F8:G8)</f>
        <v>0</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v>6546</v>
      </c>
      <c r="H10" s="154">
        <f>[2]!IIPInstructionalImprovementPrograms</f>
        <v>0</v>
      </c>
      <c r="I10" s="149">
        <f>SUM(F10:G10)</f>
        <v>6546</v>
      </c>
      <c r="J10" s="185">
        <v>4</v>
      </c>
      <c r="K10" s="107"/>
    </row>
    <row r="11" spans="1:11" ht="12.75" customHeight="1">
      <c r="A11" s="117" t="s">
        <v>304</v>
      </c>
      <c r="B11" s="8"/>
      <c r="C11" s="118"/>
      <c r="D11" s="118"/>
      <c r="E11" s="153">
        <v>5</v>
      </c>
      <c r="F11" s="316">
        <f>SUM(F6:F10)</f>
        <v>0</v>
      </c>
      <c r="G11" s="149">
        <f>SUM(G6:G10)</f>
        <v>6546</v>
      </c>
      <c r="H11" s="149">
        <f>SUM(H6:H10)</f>
        <v>9269</v>
      </c>
      <c r="I11" s="149">
        <f>SUM(I6:I10)</f>
        <v>6546</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-818</v>
      </c>
      <c r="G15" s="185">
        <v>6</v>
      </c>
      <c r="I15" s="151"/>
      <c r="J15" s="151"/>
    </row>
    <row r="16" spans="1:10" ht="12.75" customHeight="1">
      <c r="A16" s="190" t="s">
        <v>175</v>
      </c>
      <c r="B16" s="42"/>
      <c r="C16" s="2"/>
      <c r="D16" s="188"/>
      <c r="E16" s="216">
        <v>7</v>
      </c>
      <c r="F16" s="318">
        <v>6498</v>
      </c>
      <c r="G16" s="185">
        <v>7</v>
      </c>
      <c r="I16" s="151"/>
      <c r="J16" s="151"/>
    </row>
    <row r="17" spans="1:10" ht="12.75" customHeight="1">
      <c r="A17" s="190" t="s">
        <v>193</v>
      </c>
      <c r="B17" s="42"/>
      <c r="C17" s="2"/>
      <c r="D17" s="188"/>
      <c r="E17" s="216">
        <v>8</v>
      </c>
      <c r="F17" s="319">
        <f>SUM(F15:F16)</f>
        <v>5680</v>
      </c>
      <c r="G17" s="185">
        <v>8</v>
      </c>
      <c r="I17" s="151"/>
      <c r="J17" s="151"/>
    </row>
    <row r="18" spans="1:10" ht="12.75" customHeight="1">
      <c r="A18" s="191" t="s">
        <v>289</v>
      </c>
      <c r="B18" s="2"/>
      <c r="C18" s="2"/>
      <c r="D18" s="188"/>
      <c r="E18" s="216">
        <v>9</v>
      </c>
      <c r="F18" s="320">
        <f>ActualTotalInstImpExp</f>
        <v>6546</v>
      </c>
      <c r="G18" s="185">
        <v>9</v>
      </c>
      <c r="I18" s="151"/>
      <c r="J18" s="151"/>
    </row>
    <row r="19" spans="1:7" ht="12.75" customHeight="1">
      <c r="A19" s="192" t="s">
        <v>194</v>
      </c>
      <c r="B19" s="158"/>
      <c r="C19" s="8"/>
      <c r="D19" s="189"/>
      <c r="E19" s="217">
        <v>10</v>
      </c>
      <c r="F19" s="320">
        <f>F17-F18</f>
        <v>-866</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0.75" right="0.75" top="0.75" bottom="0.75" header="0.5" footer="0.5"/>
  <pageSetup fitToHeight="1" fitToWidth="1" horizontalDpi="600" verticalDpi="600" orientation="landscape" scale="79" r:id="rId1"/>
  <headerFooter alignWithMargins="0">
    <oddFooter>&amp;LRev. 8/18&amp;CFY 2018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D3" sqref="D3:I3"/>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37" t="str">
        <f>'Cover Page'!D1</f>
        <v>SCOTTSDALE COUNTRY DAY SCHOOL</v>
      </c>
      <c r="E1" s="637"/>
      <c r="F1" s="161"/>
      <c r="G1" s="161"/>
      <c r="H1" s="36"/>
      <c r="I1" s="97" t="s">
        <v>141</v>
      </c>
      <c r="J1" s="637" t="str">
        <f>'Cover Page'!M1</f>
        <v>MARICOPA </v>
      </c>
      <c r="K1" s="637"/>
      <c r="L1" s="36"/>
      <c r="M1" s="97" t="s">
        <v>138</v>
      </c>
      <c r="N1" s="97"/>
      <c r="O1" s="245" t="str">
        <f>'Cover Page'!R1</f>
        <v>078243000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46" t="s">
        <v>275</v>
      </c>
      <c r="N3" s="647"/>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31"/>
      <c r="G6" s="631"/>
      <c r="H6" s="644"/>
      <c r="I6" s="644"/>
      <c r="J6" s="644"/>
      <c r="K6" s="644"/>
      <c r="L6" s="644"/>
      <c r="M6" s="631"/>
      <c r="N6" s="294"/>
      <c r="O6" s="631"/>
      <c r="P6" s="36"/>
    </row>
    <row r="7" spans="1:16" ht="11.25" customHeight="1">
      <c r="A7" s="289" t="s">
        <v>175</v>
      </c>
      <c r="B7" s="209"/>
      <c r="C7" s="209"/>
      <c r="D7" s="209"/>
      <c r="E7" s="208"/>
      <c r="F7" s="632"/>
      <c r="G7" s="632"/>
      <c r="H7" s="645"/>
      <c r="I7" s="645"/>
      <c r="J7" s="645"/>
      <c r="K7" s="645"/>
      <c r="L7" s="645"/>
      <c r="M7" s="632"/>
      <c r="N7" s="295"/>
      <c r="O7" s="632"/>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20"/>
      <c r="H11" s="343"/>
      <c r="I11" s="343"/>
      <c r="J11" s="343"/>
      <c r="K11" s="343"/>
      <c r="L11" s="343"/>
      <c r="M11" s="633">
        <f>[2]!SEIP1071P260F1000</f>
        <v>0</v>
      </c>
      <c r="N11" s="626">
        <f>SUM(H13:L13)</f>
        <v>0</v>
      </c>
      <c r="O11" s="357"/>
      <c r="P11" s="36"/>
    </row>
    <row r="12" spans="1:16" ht="12" customHeight="1">
      <c r="A12" s="165" t="s">
        <v>279</v>
      </c>
      <c r="B12" s="36"/>
      <c r="C12" s="36"/>
      <c r="D12" s="36"/>
      <c r="F12" s="358"/>
      <c r="G12" s="621"/>
      <c r="H12" s="346"/>
      <c r="I12" s="346"/>
      <c r="J12" s="346"/>
      <c r="K12" s="346"/>
      <c r="L12" s="346"/>
      <c r="M12" s="634"/>
      <c r="N12" s="636"/>
      <c r="O12" s="358"/>
      <c r="P12" s="36"/>
    </row>
    <row r="13" spans="1:16" ht="12" customHeight="1">
      <c r="A13" s="165"/>
      <c r="B13" s="36" t="s">
        <v>201</v>
      </c>
      <c r="C13" s="36"/>
      <c r="D13" s="36"/>
      <c r="E13" s="298">
        <v>4</v>
      </c>
      <c r="F13" s="359"/>
      <c r="G13" s="622"/>
      <c r="H13" s="344"/>
      <c r="I13" s="344"/>
      <c r="J13" s="344"/>
      <c r="K13" s="344"/>
      <c r="L13" s="344"/>
      <c r="M13" s="635"/>
      <c r="N13" s="627"/>
      <c r="O13" s="359"/>
      <c r="P13" s="164">
        <v>4</v>
      </c>
    </row>
    <row r="14" spans="1:15" ht="12" customHeight="1">
      <c r="A14" s="165"/>
      <c r="B14" s="209" t="s">
        <v>161</v>
      </c>
      <c r="C14" s="36"/>
      <c r="D14" s="36"/>
      <c r="F14" s="360"/>
      <c r="G14" s="620"/>
      <c r="H14" s="343"/>
      <c r="I14" s="343"/>
      <c r="J14" s="343"/>
      <c r="K14" s="343"/>
      <c r="L14" s="343"/>
      <c r="M14" s="633">
        <f>[2]!SEIP1071P260F2100</f>
        <v>0</v>
      </c>
      <c r="N14" s="626">
        <f>SUM(H15:L15)</f>
        <v>0</v>
      </c>
      <c r="O14" s="360"/>
    </row>
    <row r="15" spans="1:16" ht="12" customHeight="1">
      <c r="A15" s="165"/>
      <c r="B15" s="36"/>
      <c r="C15" s="36" t="s">
        <v>202</v>
      </c>
      <c r="D15" s="36"/>
      <c r="E15" s="208">
        <v>5</v>
      </c>
      <c r="F15" s="361"/>
      <c r="G15" s="622"/>
      <c r="H15" s="344"/>
      <c r="I15" s="344"/>
      <c r="J15" s="344"/>
      <c r="K15" s="344"/>
      <c r="L15" s="344"/>
      <c r="M15" s="635"/>
      <c r="N15" s="627"/>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20"/>
      <c r="H23" s="343"/>
      <c r="I23" s="343"/>
      <c r="J23" s="343"/>
      <c r="K23" s="343"/>
      <c r="L23" s="343"/>
      <c r="M23" s="640">
        <f>[2]!SEIP1071P430F2700</f>
        <v>0</v>
      </c>
      <c r="N23" s="648">
        <f>SUM(H25:L25)</f>
        <v>0</v>
      </c>
      <c r="O23" s="360"/>
      <c r="P23" s="164"/>
    </row>
    <row r="24" spans="1:16" ht="12" customHeight="1">
      <c r="A24" s="165"/>
      <c r="B24" s="36" t="s">
        <v>161</v>
      </c>
      <c r="C24" s="209"/>
      <c r="D24" s="36"/>
      <c r="E24" s="208"/>
      <c r="F24" s="363"/>
      <c r="G24" s="621"/>
      <c r="H24" s="346"/>
      <c r="I24" s="346"/>
      <c r="J24" s="346"/>
      <c r="K24" s="346"/>
      <c r="L24" s="346"/>
      <c r="M24" s="641"/>
      <c r="N24" s="649"/>
      <c r="O24" s="363"/>
      <c r="P24" s="164"/>
    </row>
    <row r="25" spans="1:16" ht="12" customHeight="1">
      <c r="A25" s="165"/>
      <c r="B25" s="36"/>
      <c r="C25" s="209" t="s">
        <v>266</v>
      </c>
      <c r="D25" s="36"/>
      <c r="E25" s="208">
        <v>13</v>
      </c>
      <c r="F25" s="361"/>
      <c r="G25" s="622"/>
      <c r="H25" s="344"/>
      <c r="I25" s="344"/>
      <c r="J25" s="344"/>
      <c r="K25" s="344"/>
      <c r="L25" s="344"/>
      <c r="M25" s="642"/>
      <c r="N25" s="650"/>
      <c r="O25" s="361"/>
      <c r="P25" s="266">
        <v>13</v>
      </c>
    </row>
    <row r="26" spans="1:16" ht="12" customHeight="1">
      <c r="A26" s="211" t="s">
        <v>439</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38"/>
      <c r="B27" s="638"/>
      <c r="C27" s="638"/>
      <c r="D27" s="638"/>
      <c r="E27" s="638"/>
      <c r="F27" s="638"/>
      <c r="G27" s="638"/>
      <c r="H27" s="638"/>
      <c r="I27" s="638"/>
      <c r="J27" s="639"/>
      <c r="K27" s="639"/>
      <c r="L27" s="639"/>
      <c r="M27" s="36"/>
      <c r="N27" s="36"/>
      <c r="O27" s="36"/>
      <c r="P27" s="36"/>
    </row>
    <row r="28" spans="1:16" ht="11.25" customHeight="1">
      <c r="A28" s="198" t="s">
        <v>230</v>
      </c>
      <c r="B28" s="163"/>
      <c r="C28" s="163"/>
      <c r="D28" s="262"/>
      <c r="E28" s="207"/>
      <c r="F28" s="624"/>
      <c r="G28" s="620"/>
      <c r="H28" s="628"/>
      <c r="I28" s="628"/>
      <c r="J28" s="628"/>
      <c r="K28" s="628"/>
      <c r="L28" s="630"/>
      <c r="M28" s="623"/>
      <c r="N28" s="623"/>
      <c r="O28" s="624"/>
      <c r="P28" s="209"/>
    </row>
    <row r="29" spans="1:16" ht="11.25" customHeight="1">
      <c r="A29" s="289" t="s">
        <v>175</v>
      </c>
      <c r="B29" s="36"/>
      <c r="C29" s="36"/>
      <c r="D29" s="209"/>
      <c r="E29" s="208"/>
      <c r="F29" s="625"/>
      <c r="G29" s="621"/>
      <c r="H29" s="629"/>
      <c r="I29" s="629"/>
      <c r="J29" s="629"/>
      <c r="K29" s="629"/>
      <c r="L29" s="630"/>
      <c r="M29" s="623"/>
      <c r="N29" s="623"/>
      <c r="O29" s="625"/>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43">
        <f>[2]!CIP1072P265F1000</f>
        <v>0</v>
      </c>
      <c r="N33" s="643">
        <f>SUM(H35:L35)</f>
        <v>0</v>
      </c>
      <c r="O33" s="357"/>
      <c r="P33" s="209"/>
    </row>
    <row r="34" spans="1:16" ht="12" customHeight="1">
      <c r="A34" s="165" t="s">
        <v>280</v>
      </c>
      <c r="B34" s="36"/>
      <c r="C34" s="36"/>
      <c r="D34" s="209"/>
      <c r="E34" s="298"/>
      <c r="F34" s="358"/>
      <c r="G34" s="307"/>
      <c r="H34" s="345"/>
      <c r="I34" s="345"/>
      <c r="J34" s="345"/>
      <c r="K34" s="345"/>
      <c r="L34" s="345"/>
      <c r="M34" s="643"/>
      <c r="N34" s="643"/>
      <c r="O34" s="358"/>
      <c r="P34" s="209"/>
    </row>
    <row r="35" spans="1:16" ht="12" customHeight="1">
      <c r="A35" s="165"/>
      <c r="B35" s="36" t="s">
        <v>201</v>
      </c>
      <c r="C35" s="36"/>
      <c r="D35" s="209"/>
      <c r="E35" s="298">
        <v>18</v>
      </c>
      <c r="F35" s="359"/>
      <c r="G35" s="308"/>
      <c r="H35" s="356"/>
      <c r="I35" s="356"/>
      <c r="J35" s="356"/>
      <c r="K35" s="356"/>
      <c r="L35" s="356"/>
      <c r="M35" s="643"/>
      <c r="N35" s="643"/>
      <c r="O35" s="359"/>
      <c r="P35" s="266">
        <v>18</v>
      </c>
    </row>
    <row r="36" spans="1:16" ht="12" customHeight="1">
      <c r="A36" s="165"/>
      <c r="B36" s="209" t="s">
        <v>161</v>
      </c>
      <c r="C36" s="36"/>
      <c r="D36" s="209"/>
      <c r="E36" s="208"/>
      <c r="F36" s="360"/>
      <c r="G36" s="621"/>
      <c r="H36" s="290"/>
      <c r="I36" s="290"/>
      <c r="J36" s="290"/>
      <c r="K36" s="290"/>
      <c r="L36" s="290"/>
      <c r="M36" s="641">
        <f>[2]!CIP1072P265F2100</f>
        <v>0</v>
      </c>
      <c r="N36" s="641">
        <f>SUM(H37:L37)</f>
        <v>0</v>
      </c>
      <c r="O36" s="360"/>
      <c r="P36" s="266"/>
    </row>
    <row r="37" spans="1:16" ht="12" customHeight="1">
      <c r="A37" s="165"/>
      <c r="B37" s="36"/>
      <c r="C37" s="36" t="s">
        <v>202</v>
      </c>
      <c r="D37" s="209"/>
      <c r="E37" s="208">
        <v>19</v>
      </c>
      <c r="F37" s="361"/>
      <c r="G37" s="621"/>
      <c r="H37" s="356"/>
      <c r="I37" s="356"/>
      <c r="J37" s="356"/>
      <c r="K37" s="356"/>
      <c r="L37" s="356"/>
      <c r="M37" s="642"/>
      <c r="N37" s="642"/>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20"/>
      <c r="H45" s="290"/>
      <c r="I45" s="290"/>
      <c r="J45" s="290"/>
      <c r="K45" s="290"/>
      <c r="L45" s="290"/>
      <c r="M45" s="640">
        <f>[2]!CIP1072P435F2700</f>
        <v>0</v>
      </c>
      <c r="N45" s="640">
        <f>SUM(H47:L47)</f>
        <v>0</v>
      </c>
      <c r="O45" s="360"/>
      <c r="P45" s="266"/>
    </row>
    <row r="46" spans="1:16" ht="12" customHeight="1">
      <c r="A46" s="165"/>
      <c r="B46" s="36" t="s">
        <v>161</v>
      </c>
      <c r="C46" s="209"/>
      <c r="D46" s="209"/>
      <c r="E46" s="208"/>
      <c r="F46" s="363"/>
      <c r="G46" s="621"/>
      <c r="H46" s="345"/>
      <c r="I46" s="345"/>
      <c r="J46" s="345"/>
      <c r="K46" s="345"/>
      <c r="L46" s="345"/>
      <c r="M46" s="641"/>
      <c r="N46" s="641"/>
      <c r="O46" s="363"/>
      <c r="P46" s="266"/>
    </row>
    <row r="47" spans="1:16" ht="12" customHeight="1">
      <c r="A47" s="165"/>
      <c r="B47" s="36"/>
      <c r="C47" s="209" t="s">
        <v>266</v>
      </c>
      <c r="D47" s="209"/>
      <c r="E47" s="208">
        <v>27</v>
      </c>
      <c r="F47" s="361"/>
      <c r="G47" s="622"/>
      <c r="H47" s="356"/>
      <c r="I47" s="356"/>
      <c r="J47" s="356"/>
      <c r="K47" s="356"/>
      <c r="L47" s="356"/>
      <c r="M47" s="642"/>
      <c r="N47" s="642"/>
      <c r="O47" s="361"/>
      <c r="P47" s="266">
        <v>27</v>
      </c>
    </row>
    <row r="48" spans="1:16" ht="12" customHeight="1">
      <c r="A48" s="268" t="s">
        <v>440</v>
      </c>
      <c r="B48" s="267"/>
      <c r="C48" s="267"/>
      <c r="D48" s="267"/>
      <c r="E48" s="213">
        <v>28</v>
      </c>
      <c r="F48" s="310">
        <f>[1]!CIP1072EndBal</f>
        <v>0</v>
      </c>
      <c r="G48" s="310">
        <f>G32</f>
        <v>0</v>
      </c>
      <c r="H48" s="259">
        <f>SUM(H44:H47)</f>
        <v>0</v>
      </c>
      <c r="I48" s="259">
        <f aca="true" t="shared" si="5" ref="I48:N48">SUM(I44:I47)</f>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horizontalCentered="1"/>
  <pageMargins left="0.75" right="0.75" top="0.75" bottom="0.75" header="0.5" footer="0.5"/>
  <pageSetup fitToHeight="1" fitToWidth="1" horizontalDpi="600" verticalDpi="600" orientation="landscape" scale="74" r:id="rId1"/>
  <headerFooter alignWithMargins="0">
    <oddFooter>&amp;LRev. 8/18&amp;CFY 2018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showGridLines="0" zoomScale="115" zoomScaleNormal="115" workbookViewId="0" topLeftCell="A25">
      <selection activeCell="G35" sqref="G35"/>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4" width="4.83203125" style="3" customWidth="1"/>
    <col min="15" max="15" width="7.5" style="3" customWidth="1"/>
    <col min="16" max="16" width="6.83203125" style="3" customWidth="1"/>
    <col min="17" max="17" width="9.66015625" style="3" customWidth="1"/>
    <col min="18" max="18" width="17" style="3" customWidth="1"/>
    <col min="19" max="19" width="15" style="3" customWidth="1"/>
    <col min="20" max="20" width="15.5" style="3" customWidth="1"/>
    <col min="21" max="21" width="12.83203125" style="3" customWidth="1"/>
    <col min="22" max="22" width="15.83203125" style="3" customWidth="1"/>
    <col min="23" max="16384" width="9.33203125" style="3" customWidth="1"/>
  </cols>
  <sheetData>
    <row r="1" spans="1:21" ht="12" customHeight="1">
      <c r="A1" s="1" t="s">
        <v>0</v>
      </c>
      <c r="C1" s="565" t="str">
        <f>'Cover Page'!D1</f>
        <v>SCOTTSDALE COUNTRY DAY SCHOOL</v>
      </c>
      <c r="D1" s="565"/>
      <c r="E1" s="565"/>
      <c r="F1" s="565"/>
      <c r="G1" s="2"/>
      <c r="H1" s="3" t="s">
        <v>3</v>
      </c>
      <c r="I1" s="1" t="s">
        <v>1</v>
      </c>
      <c r="L1" s="11" t="str">
        <f>'Cover Page'!M1</f>
        <v>MARICOPA </v>
      </c>
      <c r="T1" s="4" t="s">
        <v>138</v>
      </c>
      <c r="U1" s="246" t="str">
        <f>'Cover Page'!R1</f>
        <v>078243000</v>
      </c>
    </row>
    <row r="2" spans="20:21" ht="12.75" hidden="1">
      <c r="T2" s="7"/>
      <c r="U2" s="7"/>
    </row>
    <row r="3" ht="12.75">
      <c r="V3" s="372"/>
    </row>
    <row r="4" spans="1:21" ht="12.75">
      <c r="A4" s="6" t="s">
        <v>50</v>
      </c>
      <c r="B4" s="7"/>
      <c r="C4" s="7"/>
      <c r="D4" s="7"/>
      <c r="E4" s="7"/>
      <c r="F4" s="7"/>
      <c r="G4" s="7"/>
      <c r="H4" s="7"/>
      <c r="I4" s="7"/>
      <c r="J4" s="7"/>
      <c r="K4" s="7"/>
      <c r="L4" s="7"/>
      <c r="M4" s="7"/>
      <c r="N4" s="7"/>
      <c r="O4" s="7"/>
      <c r="P4" s="7"/>
      <c r="Q4" s="7"/>
      <c r="R4" s="7"/>
      <c r="S4" s="7"/>
      <c r="T4" s="7"/>
      <c r="U4" s="7"/>
    </row>
    <row r="5" spans="4:21" ht="12.75">
      <c r="D5" s="243">
        <v>42917</v>
      </c>
      <c r="E5" s="47"/>
      <c r="F5" s="243">
        <v>43281</v>
      </c>
      <c r="U5" s="2"/>
    </row>
    <row r="6" spans="1:20" ht="12.75">
      <c r="A6" s="3" t="s">
        <v>51</v>
      </c>
      <c r="B6" s="3" t="s">
        <v>57</v>
      </c>
      <c r="C6" s="10" t="s">
        <v>52</v>
      </c>
      <c r="D6" s="338">
        <f>[1]!CashBal</f>
        <v>71010</v>
      </c>
      <c r="E6" s="10" t="s">
        <v>52</v>
      </c>
      <c r="F6" s="13">
        <v>153081</v>
      </c>
      <c r="I6" s="3" t="s">
        <v>183</v>
      </c>
      <c r="J6" s="457" t="s">
        <v>6</v>
      </c>
      <c r="K6" s="452" t="s">
        <v>225</v>
      </c>
      <c r="L6" s="457"/>
      <c r="M6" s="452"/>
      <c r="N6" s="457"/>
      <c r="O6" s="452"/>
      <c r="P6" s="457"/>
      <c r="Q6" s="452"/>
      <c r="T6" s="13">
        <v>11</v>
      </c>
    </row>
    <row r="7" spans="1:20" ht="12.75">
      <c r="A7" s="228"/>
      <c r="B7" s="228"/>
      <c r="C7" s="228"/>
      <c r="D7" s="512"/>
      <c r="E7" s="228"/>
      <c r="F7" s="512"/>
      <c r="J7" s="457" t="s">
        <v>7</v>
      </c>
      <c r="K7" s="452" t="s">
        <v>226</v>
      </c>
      <c r="L7" s="457"/>
      <c r="M7" s="452"/>
      <c r="N7" s="457"/>
      <c r="O7" s="452"/>
      <c r="P7" s="457"/>
      <c r="Q7" s="452"/>
      <c r="T7" s="13">
        <v>1</v>
      </c>
    </row>
    <row r="8" spans="1:20" ht="12.75">
      <c r="A8" s="47" t="s">
        <v>56</v>
      </c>
      <c r="B8" s="452" t="s">
        <v>59</v>
      </c>
      <c r="C8" s="48"/>
      <c r="D8" s="47"/>
      <c r="E8" s="48"/>
      <c r="F8" s="367" t="s">
        <v>35</v>
      </c>
      <c r="G8" s="367" t="s">
        <v>4</v>
      </c>
      <c r="J8" s="457" t="s">
        <v>8</v>
      </c>
      <c r="K8" s="452" t="s">
        <v>227</v>
      </c>
      <c r="L8" s="457"/>
      <c r="M8" s="452"/>
      <c r="N8" s="457"/>
      <c r="O8" s="452"/>
      <c r="P8" s="457"/>
      <c r="Q8" s="452"/>
      <c r="T8" s="236">
        <v>0</v>
      </c>
    </row>
    <row r="9" spans="1:20" ht="12.75">
      <c r="A9" s="47"/>
      <c r="B9" s="47" t="s">
        <v>114</v>
      </c>
      <c r="C9" s="48"/>
      <c r="D9" s="47"/>
      <c r="E9" s="48"/>
      <c r="F9" s="67">
        <v>8500</v>
      </c>
      <c r="G9" s="67">
        <v>8500</v>
      </c>
      <c r="J9" s="72" t="s">
        <v>9</v>
      </c>
      <c r="K9" s="3" t="s">
        <v>53</v>
      </c>
      <c r="T9" s="14">
        <v>1</v>
      </c>
    </row>
    <row r="10" spans="1:20" ht="13.5" thickBot="1">
      <c r="A10" s="47"/>
      <c r="B10" s="47" t="s">
        <v>115</v>
      </c>
      <c r="C10" s="47"/>
      <c r="D10" s="47"/>
      <c r="E10" s="47"/>
      <c r="F10" s="68">
        <v>0</v>
      </c>
      <c r="G10" s="68">
        <v>0</v>
      </c>
      <c r="J10" s="72" t="s">
        <v>10</v>
      </c>
      <c r="K10" s="3" t="s">
        <v>54</v>
      </c>
      <c r="T10" s="13">
        <v>181</v>
      </c>
    </row>
    <row r="11" spans="1:20" ht="13.5" thickBot="1">
      <c r="A11" s="47"/>
      <c r="B11" s="47" t="s">
        <v>133</v>
      </c>
      <c r="C11" s="47"/>
      <c r="D11" s="47"/>
      <c r="E11" s="47"/>
      <c r="F11" s="73">
        <f>SUM(F9:F10)</f>
        <v>8500</v>
      </c>
      <c r="G11" s="69">
        <f>SUM(G9:G10)</f>
        <v>8500</v>
      </c>
      <c r="J11" s="87" t="s">
        <v>11</v>
      </c>
      <c r="K11" s="3" t="s">
        <v>314</v>
      </c>
      <c r="S11" s="10" t="s">
        <v>52</v>
      </c>
      <c r="T11" s="14">
        <v>0</v>
      </c>
    </row>
    <row r="12" spans="10:20" ht="13.5" thickTop="1">
      <c r="J12" s="87" t="s">
        <v>12</v>
      </c>
      <c r="K12" s="3" t="s">
        <v>267</v>
      </c>
      <c r="S12" s="10" t="s">
        <v>52</v>
      </c>
      <c r="T12" s="14">
        <v>0</v>
      </c>
    </row>
    <row r="13" spans="1:20" ht="12.75">
      <c r="A13" s="3" t="s">
        <v>58</v>
      </c>
      <c r="B13" s="452" t="s">
        <v>61</v>
      </c>
      <c r="F13" s="21" t="s">
        <v>35</v>
      </c>
      <c r="G13" s="21" t="s">
        <v>4</v>
      </c>
      <c r="J13" s="87" t="s">
        <v>14</v>
      </c>
      <c r="K13" s="3" t="s">
        <v>256</v>
      </c>
      <c r="S13" s="10" t="s">
        <v>52</v>
      </c>
      <c r="T13" s="238">
        <v>16004</v>
      </c>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0</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0</v>
      </c>
      <c r="M16" s="660" t="s">
        <v>291</v>
      </c>
      <c r="N16" s="661"/>
      <c r="O16" s="662"/>
      <c r="P16" s="660" t="s">
        <v>294</v>
      </c>
      <c r="Q16" s="662"/>
      <c r="R16" s="514" t="s">
        <v>291</v>
      </c>
      <c r="S16" s="514" t="s">
        <v>294</v>
      </c>
      <c r="T16" s="514" t="s">
        <v>298</v>
      </c>
    </row>
    <row r="17" spans="2:21" ht="12.75" customHeight="1">
      <c r="B17" s="47" t="s">
        <v>250</v>
      </c>
      <c r="C17" s="47"/>
      <c r="D17" s="47"/>
      <c r="E17" s="47"/>
      <c r="F17" s="182">
        <f>[2]!CA0196Equipment</f>
        <v>0</v>
      </c>
      <c r="G17" s="17">
        <v>9800</v>
      </c>
      <c r="I17" s="3" t="s">
        <v>55</v>
      </c>
      <c r="J17" s="452" t="s">
        <v>374</v>
      </c>
      <c r="K17" s="452"/>
      <c r="L17" s="452"/>
      <c r="M17" s="665" t="s">
        <v>290</v>
      </c>
      <c r="N17" s="666"/>
      <c r="O17" s="667"/>
      <c r="P17" s="665" t="s">
        <v>290</v>
      </c>
      <c r="Q17" s="667"/>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53" t="s">
        <v>292</v>
      </c>
      <c r="N18" s="654"/>
      <c r="O18" s="655"/>
      <c r="P18" s="653" t="s">
        <v>293</v>
      </c>
      <c r="Q18" s="655"/>
      <c r="R18" s="511" t="s">
        <v>296</v>
      </c>
      <c r="S18" s="511" t="s">
        <v>297</v>
      </c>
      <c r="T18" s="511" t="s">
        <v>299</v>
      </c>
      <c r="U18" s="2"/>
    </row>
    <row r="19" spans="2:21" ht="12.75" customHeight="1" thickBot="1">
      <c r="B19" t="s">
        <v>307</v>
      </c>
      <c r="C19"/>
      <c r="D19"/>
      <c r="E19" s="47"/>
      <c r="F19" s="69">
        <f>SUM(F14:F18)</f>
        <v>0</v>
      </c>
      <c r="G19" s="19">
        <f>SUM(G14:G18)</f>
        <v>9800</v>
      </c>
      <c r="J19" s="457" t="s">
        <v>6</v>
      </c>
      <c r="K19" s="452" t="s">
        <v>373</v>
      </c>
      <c r="L19" s="452"/>
      <c r="M19" s="656">
        <v>411654</v>
      </c>
      <c r="N19" s="657"/>
      <c r="O19" s="659"/>
      <c r="P19" s="656">
        <f>21046-P22</f>
        <v>19211</v>
      </c>
      <c r="Q19" s="657"/>
      <c r="R19" s="237">
        <v>0</v>
      </c>
      <c r="S19" s="237">
        <v>0</v>
      </c>
      <c r="T19" s="237">
        <v>51398</v>
      </c>
      <c r="U19" s="2"/>
    </row>
    <row r="20" spans="10:21" ht="13.5" customHeight="1" thickTop="1">
      <c r="J20" s="457" t="s">
        <v>7</v>
      </c>
      <c r="K20" s="452" t="s">
        <v>372</v>
      </c>
      <c r="L20" s="452"/>
      <c r="M20" s="656">
        <v>0</v>
      </c>
      <c r="N20" s="657"/>
      <c r="O20" s="659"/>
      <c r="P20" s="656">
        <v>0</v>
      </c>
      <c r="Q20" s="657"/>
      <c r="R20" s="237">
        <v>0</v>
      </c>
      <c r="S20" s="237">
        <v>0</v>
      </c>
      <c r="T20" s="237">
        <v>0</v>
      </c>
      <c r="U20" s="2"/>
    </row>
    <row r="21" spans="1:21" ht="12.75">
      <c r="A21" s="3" t="s">
        <v>60</v>
      </c>
      <c r="B21" s="452" t="s">
        <v>472</v>
      </c>
      <c r="C21" s="452"/>
      <c r="D21" s="452"/>
      <c r="E21" s="452"/>
      <c r="F21" s="452"/>
      <c r="J21" s="457" t="s">
        <v>8</v>
      </c>
      <c r="K21" s="452" t="s">
        <v>371</v>
      </c>
      <c r="L21" s="452"/>
      <c r="M21" s="656">
        <v>0</v>
      </c>
      <c r="N21" s="657"/>
      <c r="O21" s="659"/>
      <c r="P21" s="656">
        <v>0</v>
      </c>
      <c r="Q21" s="657"/>
      <c r="R21" s="237">
        <v>0</v>
      </c>
      <c r="S21" s="237">
        <v>0</v>
      </c>
      <c r="T21" s="237">
        <v>0</v>
      </c>
      <c r="U21" s="507"/>
    </row>
    <row r="22" spans="1:21" ht="13.5" customHeight="1">
      <c r="A22" s="47"/>
      <c r="B22" s="47" t="s">
        <v>247</v>
      </c>
      <c r="C22" s="47"/>
      <c r="D22" s="47"/>
      <c r="E22" s="10" t="s">
        <v>52</v>
      </c>
      <c r="F22" s="13">
        <v>0</v>
      </c>
      <c r="J22" s="457" t="s">
        <v>9</v>
      </c>
      <c r="K22" s="452" t="s">
        <v>370</v>
      </c>
      <c r="L22" s="452"/>
      <c r="M22" s="656">
        <v>0</v>
      </c>
      <c r="N22" s="657"/>
      <c r="O22" s="659"/>
      <c r="P22" s="656">
        <f>1835</f>
        <v>1835</v>
      </c>
      <c r="Q22" s="659"/>
      <c r="R22" s="237">
        <v>0</v>
      </c>
      <c r="S22" s="237">
        <v>0</v>
      </c>
      <c r="T22" s="237">
        <v>0</v>
      </c>
      <c r="U22" s="507"/>
    </row>
    <row r="23" spans="1:21" ht="13.5" customHeight="1">
      <c r="A23" s="47"/>
      <c r="B23" s="47" t="s">
        <v>248</v>
      </c>
      <c r="C23" s="47"/>
      <c r="D23" s="47"/>
      <c r="E23" s="10" t="s">
        <v>52</v>
      </c>
      <c r="F23" s="13">
        <v>0</v>
      </c>
      <c r="J23" s="457" t="s">
        <v>10</v>
      </c>
      <c r="K23" s="663" t="s">
        <v>229</v>
      </c>
      <c r="L23" s="664"/>
      <c r="M23" s="651">
        <v>0</v>
      </c>
      <c r="N23" s="651"/>
      <c r="O23" s="651"/>
      <c r="P23" s="651">
        <v>0</v>
      </c>
      <c r="Q23" s="651"/>
      <c r="R23" s="651">
        <v>0</v>
      </c>
      <c r="S23" s="651">
        <v>0</v>
      </c>
      <c r="T23" s="651">
        <v>0</v>
      </c>
      <c r="U23" s="507"/>
    </row>
    <row r="24" spans="1:21" ht="13.5" customHeight="1">
      <c r="A24" s="47"/>
      <c r="B24" s="47" t="s">
        <v>249</v>
      </c>
      <c r="C24" s="47"/>
      <c r="D24" s="47"/>
      <c r="E24" s="10" t="s">
        <v>52</v>
      </c>
      <c r="F24" s="14">
        <v>0</v>
      </c>
      <c r="J24" s="458"/>
      <c r="K24" s="663"/>
      <c r="L24" s="664"/>
      <c r="M24" s="651"/>
      <c r="N24" s="651"/>
      <c r="O24" s="651"/>
      <c r="P24" s="651"/>
      <c r="Q24" s="651"/>
      <c r="R24" s="651"/>
      <c r="S24" s="651"/>
      <c r="T24" s="651"/>
      <c r="U24" s="507"/>
    </row>
    <row r="25" spans="1:21" ht="13.5" customHeight="1">
      <c r="A25" s="47"/>
      <c r="B25" s="47" t="s">
        <v>250</v>
      </c>
      <c r="C25" s="47"/>
      <c r="D25" s="47"/>
      <c r="E25" s="10" t="s">
        <v>52</v>
      </c>
      <c r="F25" s="13">
        <v>11835</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10" ht="15.75" customHeight="1" thickBot="1">
      <c r="A27" s="47"/>
      <c r="B27" t="s">
        <v>224</v>
      </c>
      <c r="C27" s="47"/>
      <c r="D27" s="47"/>
      <c r="E27" s="10" t="s">
        <v>52</v>
      </c>
      <c r="F27" s="15">
        <f>SUM(F22:F26)</f>
        <v>11835</v>
      </c>
      <c r="I27" s="516" t="s">
        <v>493</v>
      </c>
      <c r="J27" s="3" t="s">
        <v>498</v>
      </c>
    </row>
    <row r="28" spans="9:20" ht="13.5" customHeight="1" thickTop="1">
      <c r="I28" s="87"/>
      <c r="J28" s="522" t="s">
        <v>6</v>
      </c>
      <c r="K28" s="520" t="s">
        <v>502</v>
      </c>
      <c r="L28" s="519"/>
      <c r="M28" s="519"/>
      <c r="N28" s="515"/>
      <c r="O28" s="2"/>
      <c r="P28" s="2"/>
      <c r="Q28" s="2"/>
      <c r="R28" s="2"/>
      <c r="S28" s="251" t="s">
        <v>52</v>
      </c>
      <c r="T28" s="248">
        <v>245389</v>
      </c>
    </row>
    <row r="29" spans="1:20" ht="13.5" customHeight="1">
      <c r="A29" s="3" t="s">
        <v>89</v>
      </c>
      <c r="B29" s="452" t="s">
        <v>107</v>
      </c>
      <c r="C29" s="452"/>
      <c r="D29" s="452"/>
      <c r="E29" s="453"/>
      <c r="G29" s="247"/>
      <c r="I29" s="87"/>
      <c r="J29" s="522" t="s">
        <v>7</v>
      </c>
      <c r="K29" s="2" t="s">
        <v>503</v>
      </c>
      <c r="L29" s="474"/>
      <c r="M29" s="474"/>
      <c r="N29" s="2"/>
      <c r="O29" s="2"/>
      <c r="P29" s="2"/>
      <c r="Q29" s="2"/>
      <c r="R29" s="2"/>
      <c r="S29" s="251" t="s">
        <v>52</v>
      </c>
      <c r="T29" s="248">
        <v>3061</v>
      </c>
    </row>
    <row r="30" spans="2:20" ht="12.75">
      <c r="B30" s="454" t="s">
        <v>257</v>
      </c>
      <c r="C30" s="452"/>
      <c r="D30" s="452"/>
      <c r="E30" s="455"/>
      <c r="F30" s="251" t="s">
        <v>52</v>
      </c>
      <c r="G30" s="248">
        <v>620197</v>
      </c>
      <c r="I30" s="87"/>
      <c r="J30" s="522" t="s">
        <v>8</v>
      </c>
      <c r="K30" s="2" t="s">
        <v>504</v>
      </c>
      <c r="L30" s="517"/>
      <c r="M30" s="517"/>
      <c r="N30" s="2"/>
      <c r="O30" s="2"/>
      <c r="P30" s="2"/>
      <c r="Q30" s="2"/>
      <c r="R30" s="2"/>
      <c r="S30" s="251" t="s">
        <v>52</v>
      </c>
      <c r="T30" s="248">
        <v>3061</v>
      </c>
    </row>
    <row r="31" spans="2:20" ht="13.5" thickBot="1">
      <c r="B31" s="454" t="s">
        <v>221</v>
      </c>
      <c r="C31" s="456"/>
      <c r="D31" s="456"/>
      <c r="E31" s="456"/>
      <c r="F31" s="251" t="s">
        <v>52</v>
      </c>
      <c r="G31" s="248">
        <v>45402</v>
      </c>
      <c r="J31" s="521" t="s">
        <v>9</v>
      </c>
      <c r="K31" s="228" t="s">
        <v>515</v>
      </c>
      <c r="L31" s="518"/>
      <c r="M31" s="518"/>
      <c r="N31" s="2"/>
      <c r="O31" s="2"/>
      <c r="P31" s="2"/>
      <c r="Q31" s="2"/>
      <c r="R31" s="2"/>
      <c r="S31" s="251" t="s">
        <v>52</v>
      </c>
      <c r="T31" s="250">
        <f>+T29-T30</f>
        <v>0</v>
      </c>
    </row>
    <row r="32" spans="2:7" ht="13.5" thickTop="1">
      <c r="B32" s="454" t="s">
        <v>222</v>
      </c>
      <c r="C32" s="456"/>
      <c r="D32" s="456"/>
      <c r="E32" s="456"/>
      <c r="F32" s="251" t="s">
        <v>52</v>
      </c>
      <c r="G32" s="249">
        <v>243707</v>
      </c>
    </row>
    <row r="33" spans="2:7" ht="13.5" customHeight="1">
      <c r="B33" s="454" t="s">
        <v>223</v>
      </c>
      <c r="C33" s="456"/>
      <c r="D33" s="456"/>
      <c r="E33" s="456"/>
      <c r="F33" s="251" t="s">
        <v>52</v>
      </c>
      <c r="G33" s="248">
        <v>134652</v>
      </c>
    </row>
    <row r="34" spans="2:7" ht="13.5" customHeight="1">
      <c r="B34" s="454" t="s">
        <v>260</v>
      </c>
      <c r="C34" s="452"/>
      <c r="D34" s="452"/>
      <c r="E34" s="456"/>
      <c r="F34" s="251" t="s">
        <v>52</v>
      </c>
      <c r="G34" s="248">
        <v>341126</v>
      </c>
    </row>
    <row r="35" spans="2:7" ht="13.5" thickBot="1">
      <c r="B35" s="252" t="s">
        <v>224</v>
      </c>
      <c r="C35" s="47"/>
      <c r="D35" s="47"/>
      <c r="E35" s="47"/>
      <c r="F35" s="251" t="s">
        <v>52</v>
      </c>
      <c r="G35" s="250">
        <f>SUM(G30:G34)</f>
        <v>1385084</v>
      </c>
    </row>
    <row r="36" spans="1:7" ht="43.5" customHeight="1" thickTop="1">
      <c r="A36" s="524"/>
      <c r="B36" s="652" t="s">
        <v>497</v>
      </c>
      <c r="C36" s="652"/>
      <c r="D36" s="652"/>
      <c r="E36" s="525"/>
      <c r="F36" s="251" t="s">
        <v>52</v>
      </c>
      <c r="G36" s="248">
        <v>0</v>
      </c>
    </row>
    <row r="37" spans="1:7" ht="42.75" customHeight="1">
      <c r="A37" s="524"/>
      <c r="B37" s="658" t="s">
        <v>496</v>
      </c>
      <c r="C37" s="658"/>
      <c r="D37" s="658"/>
      <c r="E37" s="658"/>
      <c r="F37" s="251" t="s">
        <v>52</v>
      </c>
      <c r="G37" s="523">
        <f>G35-G36</f>
        <v>1385084</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sheetProtection sheet="1" formatCells="0" formatColumns="0" formatRows="0"/>
  <mergeCells count="23">
    <mergeCell ref="M16:O16"/>
    <mergeCell ref="K23:L24"/>
    <mergeCell ref="C1:F1"/>
    <mergeCell ref="P16:Q16"/>
    <mergeCell ref="P21:Q21"/>
    <mergeCell ref="M22:O22"/>
    <mergeCell ref="P22:Q22"/>
    <mergeCell ref="M17:O17"/>
    <mergeCell ref="P17:Q17"/>
    <mergeCell ref="B37:E37"/>
    <mergeCell ref="P18:Q18"/>
    <mergeCell ref="M19:O19"/>
    <mergeCell ref="P23:Q24"/>
    <mergeCell ref="M21:O21"/>
    <mergeCell ref="M20:O20"/>
    <mergeCell ref="S23:S24"/>
    <mergeCell ref="B36:D36"/>
    <mergeCell ref="T23:T24"/>
    <mergeCell ref="M23:O24"/>
    <mergeCell ref="M18:O18"/>
    <mergeCell ref="P20:Q20"/>
    <mergeCell ref="R23:R24"/>
    <mergeCell ref="P19:Q19"/>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 ref="J28" location="AdditionalTeacherSalaryLine1" display="1."/>
    <hyperlink ref="J29" location="AdditionalTeacherSalaryLine2" display="2."/>
    <hyperlink ref="J30" location="AdditionalTeacherSalaryLine3" display="3."/>
    <hyperlink ref="B36:D36" location="CurrentExpensesbyCategoryLines7and8" display="7. Current Expenses from Federal Projects, excluding those projects intended to replace local tax revenues (e.g., most Impact Aid Projects)"/>
    <hyperlink ref="B37:E37" location="CurrentExpensesbyCategoryLines7and8" display="8. Current Expenses from State and Local Projects, including those projects intended to replace local tax revenues (e.g., most Impact Aid Projects)"/>
  </hyperlinks>
  <printOptions horizontalCentered="1"/>
  <pageMargins left="0.75" right="0.75" top="0.75" bottom="0.75" header="0.5" footer="0.5"/>
  <pageSetup fitToHeight="1" fitToWidth="1" horizontalDpi="600" verticalDpi="600" orientation="landscape" scale="66" r:id="rId2"/>
  <headerFooter alignWithMargins="0">
    <oddFooter>&amp;LRev. 8/18&amp;CFY 2018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T16" sqref="T16"/>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65" t="str">
        <f>'Cover Page'!D1</f>
        <v>SCOTTSDALE COUNTRY DAY SCHOOL</v>
      </c>
      <c r="E1" s="565"/>
      <c r="F1" s="565"/>
      <c r="G1" s="565"/>
      <c r="H1" s="2"/>
      <c r="I1" s="2"/>
      <c r="K1" s="4" t="s">
        <v>1</v>
      </c>
      <c r="L1" s="565" t="str">
        <f>'Cover Page'!M1</f>
        <v>MARICOPA </v>
      </c>
      <c r="M1" s="565"/>
      <c r="P1" s="12"/>
      <c r="U1" s="4" t="s">
        <v>138</v>
      </c>
      <c r="V1" s="246" t="str">
        <f>'Cover Page'!R1</f>
        <v>078243000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70" t="s">
        <v>63</v>
      </c>
      <c r="F6" s="671"/>
      <c r="G6" s="671"/>
      <c r="H6" s="671"/>
      <c r="I6" s="671"/>
      <c r="J6" s="671"/>
      <c r="K6" s="671"/>
      <c r="L6" s="671"/>
      <c r="M6" s="671"/>
      <c r="N6" s="671"/>
      <c r="O6" s="671"/>
      <c r="P6" s="671"/>
      <c r="Q6" s="671"/>
      <c r="R6" s="672"/>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68">
        <f aca="true" t="shared" si="0" ref="E11:Q11">SUM(E8:E10)</f>
        <v>0</v>
      </c>
      <c r="F11" s="668">
        <f t="shared" si="0"/>
        <v>0</v>
      </c>
      <c r="G11" s="668">
        <f t="shared" si="0"/>
        <v>0</v>
      </c>
      <c r="H11" s="668">
        <f t="shared" si="0"/>
        <v>0</v>
      </c>
      <c r="I11" s="668">
        <f t="shared" si="0"/>
        <v>0</v>
      </c>
      <c r="J11" s="668">
        <f t="shared" si="0"/>
        <v>0</v>
      </c>
      <c r="K11" s="668">
        <f t="shared" si="0"/>
        <v>0</v>
      </c>
      <c r="L11" s="668">
        <f t="shared" si="0"/>
        <v>0</v>
      </c>
      <c r="M11" s="668">
        <f t="shared" si="0"/>
        <v>0</v>
      </c>
      <c r="N11" s="668">
        <f t="shared" si="0"/>
        <v>0</v>
      </c>
      <c r="O11" s="668">
        <f t="shared" si="0"/>
        <v>0</v>
      </c>
      <c r="P11" s="668">
        <f t="shared" si="0"/>
        <v>0</v>
      </c>
      <c r="Q11" s="668">
        <f t="shared" si="0"/>
        <v>0</v>
      </c>
      <c r="R11" s="668">
        <f>SUM(E11:Q11)</f>
        <v>0</v>
      </c>
      <c r="S11" s="27"/>
    </row>
    <row r="12" spans="2:20" ht="13.5" thickBot="1">
      <c r="B12" s="3" t="s">
        <v>342</v>
      </c>
      <c r="E12" s="669"/>
      <c r="F12" s="669"/>
      <c r="G12" s="669"/>
      <c r="H12" s="669"/>
      <c r="I12" s="669"/>
      <c r="J12" s="669"/>
      <c r="K12" s="669"/>
      <c r="L12" s="669"/>
      <c r="M12" s="669"/>
      <c r="N12" s="669"/>
      <c r="O12" s="669"/>
      <c r="P12" s="669"/>
      <c r="Q12" s="669"/>
      <c r="R12" s="669"/>
      <c r="S12" s="24" t="s">
        <v>9</v>
      </c>
      <c r="T12" s="2"/>
    </row>
    <row r="13" ht="16.5" customHeight="1" thickTop="1"/>
    <row r="14" spans="1:17" ht="12.75" customHeight="1">
      <c r="A14" s="675" t="s">
        <v>383</v>
      </c>
      <c r="B14" s="675"/>
      <c r="C14" s="675"/>
      <c r="D14" s="675"/>
      <c r="E14" s="675"/>
      <c r="F14" s="493"/>
      <c r="G14" s="493"/>
      <c r="H14" s="228"/>
      <c r="K14" s="452" t="s">
        <v>382</v>
      </c>
      <c r="L14" s="452"/>
      <c r="M14" s="452"/>
      <c r="N14" s="452"/>
      <c r="O14" s="452"/>
      <c r="P14" s="452"/>
      <c r="Q14" s="452"/>
    </row>
    <row r="15" spans="1:20" ht="38.25" customHeight="1">
      <c r="A15" s="495"/>
      <c r="B15" s="676" t="s">
        <v>405</v>
      </c>
      <c r="C15" s="676"/>
      <c r="D15" s="676"/>
      <c r="E15" s="676"/>
      <c r="F15" s="493"/>
      <c r="G15" s="493"/>
      <c r="H15" s="228"/>
      <c r="S15" s="284" t="s">
        <v>268</v>
      </c>
      <c r="T15" s="284" t="s">
        <v>263</v>
      </c>
    </row>
    <row r="16" spans="1:21" ht="12.75" customHeight="1">
      <c r="A16" s="47"/>
      <c r="B16" s="35" t="s">
        <v>261</v>
      </c>
      <c r="E16" s="228"/>
      <c r="K16" s="65" t="s">
        <v>6</v>
      </c>
      <c r="L16" s="675" t="s">
        <v>442</v>
      </c>
      <c r="M16" s="675"/>
      <c r="N16" s="675"/>
      <c r="O16" s="675"/>
      <c r="P16" s="675"/>
      <c r="S16" s="466">
        <v>45817</v>
      </c>
      <c r="T16" s="76">
        <f>'Page 2'!J36</f>
        <v>79788</v>
      </c>
      <c r="U16" s="24" t="s">
        <v>6</v>
      </c>
    </row>
    <row r="17" spans="1:21" ht="12.75" customHeight="1">
      <c r="A17" s="47"/>
      <c r="B17" s="3" t="s">
        <v>90</v>
      </c>
      <c r="C17" s="10" t="s">
        <v>52</v>
      </c>
      <c r="D17" s="13"/>
      <c r="E17" s="228"/>
      <c r="K17" s="65" t="s">
        <v>7</v>
      </c>
      <c r="L17" s="673" t="s">
        <v>375</v>
      </c>
      <c r="M17" s="673"/>
      <c r="N17" s="673"/>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74" t="s">
        <v>441</v>
      </c>
      <c r="M23" s="674"/>
      <c r="N23" s="674"/>
      <c r="O23" s="674"/>
      <c r="P23" s="674"/>
      <c r="Q23" s="366"/>
      <c r="S23" s="69">
        <f>SUM(S16:S22)</f>
        <v>45817</v>
      </c>
      <c r="T23" s="19">
        <f>SUM(T16:T22)</f>
        <v>79788</v>
      </c>
      <c r="U23" s="24" t="s">
        <v>14</v>
      </c>
    </row>
    <row r="24" spans="1:8" ht="12.75" customHeight="1" thickTop="1">
      <c r="A24" s="10"/>
      <c r="B24" s="584"/>
      <c r="C24" s="584"/>
      <c r="D24" s="584"/>
      <c r="E24" s="584"/>
      <c r="F24" s="584"/>
      <c r="G24" s="584"/>
      <c r="H24" s="584"/>
    </row>
    <row r="25" spans="1:8" ht="12.75" customHeight="1">
      <c r="A25" s="10"/>
      <c r="B25" s="584"/>
      <c r="C25" s="584"/>
      <c r="D25" s="584"/>
      <c r="E25" s="584"/>
      <c r="F25" s="584"/>
      <c r="G25" s="584"/>
      <c r="H25" s="584"/>
    </row>
    <row r="26" spans="1:24" ht="12.75" customHeight="1">
      <c r="A26" s="65"/>
      <c r="B26" s="584"/>
      <c r="C26" s="584"/>
      <c r="D26" s="584"/>
      <c r="E26" s="584"/>
      <c r="F26" s="584"/>
      <c r="G26" s="584"/>
      <c r="H26" s="584"/>
      <c r="I26" s="584"/>
      <c r="J26" s="584"/>
      <c r="K26" s="584"/>
      <c r="L26" s="584"/>
      <c r="W26" s="365"/>
      <c r="X26" s="365"/>
    </row>
    <row r="27" spans="2:13" ht="12.75" customHeight="1">
      <c r="B27" s="584"/>
      <c r="C27" s="584"/>
      <c r="D27" s="584"/>
      <c r="E27" s="584"/>
      <c r="F27" s="584"/>
      <c r="G27" s="584"/>
      <c r="H27" s="584"/>
      <c r="I27" s="584"/>
      <c r="J27" s="584"/>
      <c r="K27" s="584"/>
      <c r="L27" s="584"/>
      <c r="M27" s="584"/>
    </row>
    <row r="31" spans="2:3" ht="12.75" customHeight="1">
      <c r="B31" s="464"/>
      <c r="C31" s="464"/>
    </row>
  </sheetData>
  <sheetProtection sheet="1" formatCells="0" formatColumns="0" formatRows="0"/>
  <mergeCells count="26">
    <mergeCell ref="D1:G1"/>
    <mergeCell ref="L1:M1"/>
    <mergeCell ref="E11:E12"/>
    <mergeCell ref="F11:F12"/>
    <mergeCell ref="G11:G12"/>
    <mergeCell ref="H11:H12"/>
    <mergeCell ref="J11:J12"/>
    <mergeCell ref="K11:K12"/>
    <mergeCell ref="B26:L26"/>
    <mergeCell ref="B27:M27"/>
    <mergeCell ref="L11:L12"/>
    <mergeCell ref="B24:H24"/>
    <mergeCell ref="B25:H25"/>
    <mergeCell ref="L17:N17"/>
    <mergeCell ref="L23:P23"/>
    <mergeCell ref="A14:E14"/>
    <mergeCell ref="B15:E15"/>
    <mergeCell ref="L16:P16"/>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0.75" right="0.75" top="0.75" bottom="0.75" header="0.5" footer="0.5"/>
  <pageSetup fitToHeight="1" fitToWidth="1" horizontalDpi="600" verticalDpi="600" orientation="landscape" scale="75" r:id="rId2"/>
  <headerFooter alignWithMargins="0">
    <oddFooter>&amp;LRev. 8/18&amp;CFY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Emily Barwald</cp:lastModifiedBy>
  <cp:lastPrinted>2018-08-15T19:29:05Z</cp:lastPrinted>
  <dcterms:created xsi:type="dcterms:W3CDTF">1997-10-10T20:56:13Z</dcterms:created>
  <dcterms:modified xsi:type="dcterms:W3CDTF">2018-10-15T19:32:30Z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