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tabRatio="706"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Supplement" sheetId="10" r:id="rId10"/>
    <sheet name="Summary Page 1" sheetId="11" r:id="rId11"/>
    <sheet name="Summary Page 2" sheetId="12" r:id="rId12"/>
    <sheet name="Truth in Tax" sheetId="13" r:id="rId13"/>
    <sheet name="Instructions" sheetId="14" r:id="rId14"/>
  </sheets>
  <externalReferences>
    <externalReference r:id="rId17"/>
    <externalReference r:id="rId18"/>
    <externalReference r:id="rId19"/>
    <externalReference r:id="rId20"/>
  </externalReferences>
  <definedNames>
    <definedName name="_xlnm._FilterDatabase" localSheetId="13" hidden="1">'Instructions'!$A$1:$D$91</definedName>
    <definedName name="_Key1" hidden="1">'Page 6'!$O$8</definedName>
    <definedName name="_Order1" hidden="1">255</definedName>
    <definedName name="_Sort" hidden="1">'Page 6'!$O$8:$O$33</definedName>
    <definedName name="AdjacentWays">'Instructions'!$C$32</definedName>
    <definedName name="AdjCSFBLBudgFY">'Page 8'!$J$43</definedName>
    <definedName name="AdjTNTBaseLimit">'Truth in Tax'!$I$7</definedName>
    <definedName name="AdjWaysLevy">'Page 5'!$E$28</definedName>
    <definedName name="AllFundAuditBudg6330">'Page 2'!$O$9</definedName>
    <definedName name="AmtOUBudgSSA">'Truth in Tax'!$I$21</definedName>
    <definedName name="AuditServices">'Instructions'!$C$17</definedName>
    <definedName name="BudgetYearADM">'Summary Page 1'!$D$13</definedName>
    <definedName name="BudgIncrDesegExp">'Page 7'!$J$35</definedName>
    <definedName name="BudgIncrDropPrevProg">'Page 7'!$J$38</definedName>
    <definedName name="BudgIncrJCTEVEC">'Page 7'!$J$41</definedName>
    <definedName name="BudgIncrTuitOutDebtServ">'Page 7'!$J$36</definedName>
    <definedName name="cover" localSheetId="0">'Cover'!$A$1:$Q$41</definedName>
    <definedName name="CoverGen">'Instructions'!$C$2</definedName>
    <definedName name="CoverSalaryInc">'Instructions'!$C$6</definedName>
    <definedName name="CSFActualCurrFY">'Page 8'!$J$39</definedName>
    <definedName name="CSFAllocBudgFY">'Page 8'!$J$42</definedName>
    <definedName name="CSFBLBudgFY">'Page 8'!$J$45</definedName>
    <definedName name="CSFBLCurrFY">'Page 8'!$J$38</definedName>
    <definedName name="CTD">'Cover'!$Q$1</definedName>
    <definedName name="DDPJCTEOriginalBudget">'Truth in Tax'!$G$18</definedName>
    <definedName name="EstimatedFTECertified">'Page 2'!$G$25</definedName>
    <definedName name="EstTaxRateBudgFY">'Cover'!$P$13</definedName>
    <definedName name="ExcessTNTLimit">'Truth in Tax'!$I$25</definedName>
    <definedName name="ExpOUOrigBudg">'Truth in Tax'!$I$18</definedName>
    <definedName name="F001AuditBudg6350">'Page 2'!$O$8</definedName>
    <definedName name="F001P100F1000">'Page 1'!$L$7</definedName>
    <definedName name="F001P100F1000O6100">'Page 1'!$F$8</definedName>
    <definedName name="F001P100F1000O6200">'Page 1'!$G$8</definedName>
    <definedName name="F001P100F1000O630064006500">'Page 1'!$H$8</definedName>
    <definedName name="F001P100F1000O6600">'Page 1'!$I$8</definedName>
    <definedName name="F001P100F1000O6800">'Page 1'!$J$8</definedName>
    <definedName name="F001P100F1000OthBudgFY">'Summary Page 1'!$F$32</definedName>
    <definedName name="F001P100F1000Personnel">'Page 1'!$E$8</definedName>
    <definedName name="F001P100F1000SBBudgFY">'Summary Page 1'!$D$32</definedName>
    <definedName name="F001P100F1000TotBudgFY">'Summary Page 1'!$H$32</definedName>
    <definedName name="F001P100F2100">'Page 1'!$L$9</definedName>
    <definedName name="F001P100F2100O6100">'Page 1'!$F$10</definedName>
    <definedName name="F001P100F2100O6200">'Page 1'!$G$10</definedName>
    <definedName name="F001P100F2100O630064006500">'Page 1'!$H$10</definedName>
    <definedName name="F001P100F2100O6600">'Page 1'!$I$10</definedName>
    <definedName name="F001P100F2100O6800">'Page 1'!$J$10</definedName>
    <definedName name="F001P100F2100OthBudgFY">'Summary Page 1'!$F$34</definedName>
    <definedName name="F001P100F2100Personnel">'Page 1'!$E$10</definedName>
    <definedName name="F001P100F2100SBBudgFY">'Summary Page 1'!$D$34</definedName>
    <definedName name="F001P100F2100TotBudgFY">'Summary Page 1'!$H$34</definedName>
    <definedName name="F001P100F2200">'Page 1'!$L$11</definedName>
    <definedName name="F001P100F2200O6100">'Page 1'!$F$11</definedName>
    <definedName name="F001P100F2200O6200">'Page 1'!$G$11</definedName>
    <definedName name="F001P100F2200O630064006500">'Page 1'!$H$11</definedName>
    <definedName name="F001P100F2200O6600">'Page 1'!$I$11</definedName>
    <definedName name="F001P100F2200O6800">'Page 1'!$J$11</definedName>
    <definedName name="F001P100F2200OthBudgFY">'Summary Page 1'!$F$36</definedName>
    <definedName name="F001P100F2200Personnel">'Page 1'!$E$11</definedName>
    <definedName name="F001P100F2200SBBudgFY">'Summary Page 1'!$D$36</definedName>
    <definedName name="F001P100F2200TotBudgFY">'Summary Page 1'!$H$36</definedName>
    <definedName name="F001P100F2300">'Page 1'!$L$12</definedName>
    <definedName name="F001P100F230024002500OthBudgFY">'Summary Page 1'!$F$37</definedName>
    <definedName name="F001P100F230024002500SBBudgFY">'Summary Page 1'!$D$37</definedName>
    <definedName name="F001P100F230024002500TotBudgFY">'Summary Page 1'!$H$37</definedName>
    <definedName name="F001P100F2300O6100">'Page 1'!$F$12</definedName>
    <definedName name="F001P100F2300O6200">'Page 1'!$G$12</definedName>
    <definedName name="F001P100F2300O630064006500">'Page 1'!$H$12</definedName>
    <definedName name="F001P100F2300O6600">'Page 1'!$I$12</definedName>
    <definedName name="F001P100F2300O6800">'Page 1'!$J$12</definedName>
    <definedName name="F001P100F2300Personnel">'Page 1'!$E$12</definedName>
    <definedName name="F001P100F2400">'Page 1'!$L$13</definedName>
    <definedName name="F001P100F2400O6100">'Page 1'!$F$13</definedName>
    <definedName name="F001P100F2400O6200">'Page 1'!$G$13</definedName>
    <definedName name="F001P100F2400O630064006500">'Page 1'!$H$13</definedName>
    <definedName name="F001P100F2400O6600">'Page 1'!$I$13</definedName>
    <definedName name="F001P100F2400O6800">'Page 1'!$J$13</definedName>
    <definedName name="F001P100F2400Personnel">'Page 1'!$E$13</definedName>
    <definedName name="F001P100F2500">'Page 1'!$L$14</definedName>
    <definedName name="F001P100F2500O6100">'Page 1'!$F$14</definedName>
    <definedName name="F001P100F2500O6200">'Page 1'!$G$14</definedName>
    <definedName name="F001P100F2500O630064006500">'Page 1'!$H$14</definedName>
    <definedName name="F001P100F2500O6600">'Page 1'!$I$14</definedName>
    <definedName name="F001P100F2500O6800">'Page 1'!$J$14</definedName>
    <definedName name="F001P100F2500Personnel">'Page 1'!$E$14</definedName>
    <definedName name="F001P100F2600">'Page 1'!$L$15</definedName>
    <definedName name="F001P100F2600O6100">'Page 1'!$F$15</definedName>
    <definedName name="F001P100F2600O6200">'Page 1'!$G$15</definedName>
    <definedName name="F001P100F2600O630064006500">'Page 1'!$H$15</definedName>
    <definedName name="F001P100F2600O6600">'Page 1'!$I$15</definedName>
    <definedName name="F001P100F2600O6800">'Page 1'!$J$15</definedName>
    <definedName name="F001P100F2600OthBudgFY">'Summary Page 1'!$F$38</definedName>
    <definedName name="F001P100F2600Personnel">'Page 1'!$E$15</definedName>
    <definedName name="F001P100F2600SBBudgFY">'Summary Page 1'!$D$38</definedName>
    <definedName name="F001P100F2600TotBudgFY">'Summary Page 1'!$H$38</definedName>
    <definedName name="F001P100F2900">'Page 1'!$L$16</definedName>
    <definedName name="F001P100F2900O6100">'Page 1'!$F$16</definedName>
    <definedName name="F001P100F2900O6200">'Page 1'!$G$16</definedName>
    <definedName name="F001P100F2900O630064006500">'Page 1'!$H$16</definedName>
    <definedName name="F001P100F2900O6600">'Page 1'!$I$16</definedName>
    <definedName name="F001P100F2900O6800">'Page 1'!$J$16</definedName>
    <definedName name="F001P100F2900OthBudgFY">'Summary Page 1'!$F$39</definedName>
    <definedName name="F001P100F2900Personnel">'Page 1'!$E$16</definedName>
    <definedName name="F001P100F2900SBBudgFY">'Summary Page 1'!$D$39</definedName>
    <definedName name="F001P100F2900TotBudgFY">'Summary Page 1'!$H$39</definedName>
    <definedName name="F001P100F3000">'Page 1'!$L$17</definedName>
    <definedName name="F001P100F3000O6100">'Page 1'!$F$17</definedName>
    <definedName name="F001P100F3000O6200">'Page 1'!$G$17</definedName>
    <definedName name="F001P100F3000O630064006500">'Page 1'!$H$17</definedName>
    <definedName name="F001P100F3000O6600">'Page 1'!$I$17</definedName>
    <definedName name="F001P100F3000O6800">'Page 1'!$J$17</definedName>
    <definedName name="F001P100F3000OthBudgFY">'Summary Page 1'!$F$40</definedName>
    <definedName name="F001P100F3000Personnel">'Page 1'!$E$17</definedName>
    <definedName name="F001P100F3000SBBudgFY">'Summary Page 1'!$D$40</definedName>
    <definedName name="F001P100F3000TotBudgFY">'Summary Page 1'!$H$40</definedName>
    <definedName name="F001P200F1000">'Page 1'!$L$23</definedName>
    <definedName name="F001P200F1000O6100">'Page 1'!$F$24</definedName>
    <definedName name="F001P200F1000O6200">'Page 1'!$G$24</definedName>
    <definedName name="F001P200F1000O630064006500">'Page 1'!$H$24</definedName>
    <definedName name="F001P200F1000O6600">'Page 1'!$I$24</definedName>
    <definedName name="F001P200F1000O6800">'Page 1'!$J$24</definedName>
    <definedName name="F001P200F1000OthBudgFY">'Summary Page 1'!$F$45</definedName>
    <definedName name="F001P200F1000Personnel">'Page 1'!$E$24</definedName>
    <definedName name="F001P200F1000SBBudgFY">'Summary Page 1'!$D$45</definedName>
    <definedName name="F001P200F1000TotBudgFY">'Summary Page 1'!$H$45</definedName>
    <definedName name="F001P200F2100">'Page 1'!$L$25</definedName>
    <definedName name="F001P200F2100O6100">'Page 1'!$F$26</definedName>
    <definedName name="F001P200F2100O6200">'Page 1'!$G$26</definedName>
    <definedName name="F001P200F2100O630064006500">'Page 1'!$H$26</definedName>
    <definedName name="F001P200F2100O6600">'Page 1'!$I$26</definedName>
    <definedName name="F001P200F2100O6800">'Page 1'!$J$26</definedName>
    <definedName name="F001P200F2100OthBudgFY">'Summary Page 1'!$F$47</definedName>
    <definedName name="F001P200F2100Personnel">'Page 1'!$E$26</definedName>
    <definedName name="F001P200F2100SBBudgFY">'Summary Page 1'!$D$47</definedName>
    <definedName name="F001P200F2200">'Page 1'!$L$27</definedName>
    <definedName name="F001P200F2200O6100">'Page 1'!$F$27</definedName>
    <definedName name="F001P200F2200O6200">'Page 1'!$G$27</definedName>
    <definedName name="F001P200F2200O630064006500">'Page 1'!$H$27</definedName>
    <definedName name="F001P200F2200O6600">'Page 1'!$I$27</definedName>
    <definedName name="F001P200F2200O6800">'Page 1'!$J$27</definedName>
    <definedName name="F001P200F2200OthBudgFY">'Summary Page 1'!$F$49</definedName>
    <definedName name="F001P200F2200Personnel">'Page 1'!$E$27</definedName>
    <definedName name="F001P200F2200SBBudgFY">'Summary Page 1'!$D$49</definedName>
    <definedName name="F001P200F2200TotBudgFy">'Summary Page 1'!$H$49</definedName>
    <definedName name="F001P200F2300">'Page 1'!$L$28</definedName>
    <definedName name="F001P200F230024002500OthBudgFY">'Summary Page 1'!$F$50</definedName>
    <definedName name="F001P200F230024002500SBBudgFY">'Summary Page 1'!$D$50</definedName>
    <definedName name="F001P200F230024002500TotBudgFY">'Summary Page 1'!$H$50</definedName>
    <definedName name="F001P200F2300O6100">'Page 1'!$F$28</definedName>
    <definedName name="F001P200F2300O6200">'Page 1'!$G$28</definedName>
    <definedName name="F001P200F2300O630064006500">'Page 1'!$H$28</definedName>
    <definedName name="F001P200F2300O6600">'Page 1'!$I$28</definedName>
    <definedName name="F001P200F2300O6800">'Page 1'!$J$28</definedName>
    <definedName name="F001P200F2300Personnel">'Page 1'!$E$28</definedName>
    <definedName name="F001P200F2400">'Page 1'!$L$29</definedName>
    <definedName name="F001P200F2400O6100">'Page 1'!$F$29</definedName>
    <definedName name="F001P200F2400O6200">'Page 1'!$G$29</definedName>
    <definedName name="F001P200F2400O630064006500">'Page 1'!$H$29</definedName>
    <definedName name="F001P200F2400O6600">'Page 1'!$I$29</definedName>
    <definedName name="F001P200F2400O6800">'Page 1'!$J$29</definedName>
    <definedName name="F001P200F2400Personnel">'Page 1'!$E$29</definedName>
    <definedName name="F001P200F2500">'Page 1'!$L$30</definedName>
    <definedName name="F001P200F2500O6100">'Page 1'!$F$30</definedName>
    <definedName name="F001P200F2500O6200">'Page 1'!$G$30</definedName>
    <definedName name="F001P200F2500O630064006500">'Page 1'!$H$30</definedName>
    <definedName name="F001P200F2500O6600">'Page 1'!$I$30</definedName>
    <definedName name="F001P200F2500O6800">'Page 1'!$J$30</definedName>
    <definedName name="F001P200F2500Personnel">'Page 1'!$E$30</definedName>
    <definedName name="F001P200F2600">'Page 1'!$L$31</definedName>
    <definedName name="F001P200F2600O6100">'Page 1'!$F$31</definedName>
    <definedName name="F001P200F2600O6200">'Page 1'!$G$31</definedName>
    <definedName name="F001P200F2600O630064006500">'Page 1'!$H$31</definedName>
    <definedName name="F001P200F2600O6600">'Page 1'!$I$31</definedName>
    <definedName name="F001P200F2600O6800">'Page 1'!$J$31</definedName>
    <definedName name="F001P200F2600OthBudgFY">'Summary Page 1'!$F$51</definedName>
    <definedName name="F001P200F2600Personnel">'Page 1'!$E$31</definedName>
    <definedName name="F001P200F2600SBBudgFY">'Summary Page 1'!$D$51</definedName>
    <definedName name="F001P200F2600TotBudgFY">'Summary Page 1'!$H$51</definedName>
    <definedName name="F001P200F2900">'Page 1'!$L$32</definedName>
    <definedName name="F001P200F2900O6100">'Page 1'!$F$32</definedName>
    <definedName name="F001P200F2900O6200">'Page 1'!$G$32</definedName>
    <definedName name="F001P200F2900O630064006500">'Page 1'!$H$32</definedName>
    <definedName name="F001P200F2900O6600">'Page 1'!$I$32</definedName>
    <definedName name="F001P200F2900O6800">'Page 1'!$J$32</definedName>
    <definedName name="F001P200F2900OthBudgFY">'Summary Page 1'!$F$52</definedName>
    <definedName name="F001P200F2900Personnel">'Page 1'!$E$32</definedName>
    <definedName name="F001P200F2900SBBudgFY">'Summary Page 1'!$D$52</definedName>
    <definedName name="F001P200F2900TotBudgFY">'Summary Page 1'!$H$52</definedName>
    <definedName name="F001P200F3000">'Page 1'!$L$33</definedName>
    <definedName name="F001P200F3000O6100">'Page 1'!$F$33</definedName>
    <definedName name="F001P200F3000O6200">'Page 1'!$G$33</definedName>
    <definedName name="F001P200F3000O630064006500">'Page 1'!$H$33</definedName>
    <definedName name="F001P200F3000O6600">'Page 1'!$I$33</definedName>
    <definedName name="F001P200F3000O6800">'Page 1'!$J$33</definedName>
    <definedName name="F001P200F3000OthBudgFY">'Summary Page 1'!$F$53</definedName>
    <definedName name="F001P200F3000Personnel">'Page 1'!$E$33</definedName>
    <definedName name="F001P200F3000SBBudgFY">'Summary Page 1'!$D$53</definedName>
    <definedName name="F001P200F3000TotBudgFY">'Summary Page 1'!$H$53</definedName>
    <definedName name="F001P200F510TotBudgFY">'Summary Page 1'!$H$56</definedName>
    <definedName name="F001P200PYDisabilityTot">'Page 2'!$F$7</definedName>
    <definedName name="F001P200Subtotal">'Page 2'!$G$7</definedName>
    <definedName name="F001P200TotBudgFY">'Page 1'!$L$34</definedName>
    <definedName name="F001P400">'Page 1'!$L$35</definedName>
    <definedName name="F001P400O6100">'Page 1'!$F$35</definedName>
    <definedName name="F001P400O6200">'Page 1'!$G$35</definedName>
    <definedName name="F001P400O630064006500">'Page 1'!$H$35</definedName>
    <definedName name="F001P400O6600">'Page 1'!$I$35</definedName>
    <definedName name="F001P400O6800">'Page 1'!$J$35</definedName>
    <definedName name="F001P400OthBudgFy">'Summary Page 1'!$F$55</definedName>
    <definedName name="F001P400Personnel">'Page 1'!$E$35</definedName>
    <definedName name="F001P400SBBudgFY">'Summary Page 1'!$D$55</definedName>
    <definedName name="F001P400TotBudgFY">'Summary Page 1'!$H$55</definedName>
    <definedName name="F001P510">'Page 1'!$L$36</definedName>
    <definedName name="F001P510O6100">'Page 1'!$F$36</definedName>
    <definedName name="F001P510O6200">'Page 1'!$G$36</definedName>
    <definedName name="F001P510O630064006500">'Page 1'!$H$36</definedName>
    <definedName name="F001P510O6600">'Page 1'!$I$36</definedName>
    <definedName name="F001P510O6800">'Page 1'!$J$36</definedName>
    <definedName name="F001P510OthBudgFY">'Summary Page 1'!$F$56</definedName>
    <definedName name="F001P510Personnel">'Page 1'!$E$36</definedName>
    <definedName name="F001P510SBBudgFY">'Summary Page 1'!$D$56</definedName>
    <definedName name="F001P530">'Page 1'!$L$38</definedName>
    <definedName name="F001P530O6100">'Page 1'!$F$38</definedName>
    <definedName name="F001P530O6200">'Page 1'!$G$38</definedName>
    <definedName name="F001P530O630064006500">'Page 1'!$H$38</definedName>
    <definedName name="F001P530O6600">'Page 1'!$I$38</definedName>
    <definedName name="F001P530O6800">'Page 1'!$J$38</definedName>
    <definedName name="F001P530OthBudgFY">'Summary Page 1'!$F$57</definedName>
    <definedName name="F001P530Personnel">'Page 1'!$E$38</definedName>
    <definedName name="F001P530SBBudgFY">'Summary Page 1'!$D$57</definedName>
    <definedName name="F001P530TotBudgFY">'Summary Page 1'!$H$57</definedName>
    <definedName name="F001P540">'Page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'Page 1'!$F$39</definedName>
    <definedName name="F001P540O6200">'Page 1'!$G$39</definedName>
    <definedName name="F001P540O630064006500">'Page 1'!$H$39</definedName>
    <definedName name="F001P540O6600">'Page 1'!$I$39</definedName>
    <definedName name="F001P540O6800">'Page 1'!$J$39</definedName>
    <definedName name="F001P540OthBudgFY">'Summary Page 1'!$F$58</definedName>
    <definedName name="F001P540Personnel">'Page 1'!$E$39</definedName>
    <definedName name="F001P540SBBudgFY">'Summary Page 1'!$D$58</definedName>
    <definedName name="F001P540TotalBudgFY">#REF!</definedName>
    <definedName name="F001P540TotBudgFY">'Summary Page 1'!$H$58</definedName>
    <definedName name="F001P540TotCurrFY">#REF!</definedName>
    <definedName name="F001P550">'Page 1'!$L$41</definedName>
    <definedName name="F001P550O6100">'Page 1'!$F$41</definedName>
    <definedName name="F001P550O6200">'Page 1'!$G$41</definedName>
    <definedName name="F001P550O630064006500">'Page 1'!$H$41</definedName>
    <definedName name="F001P550O6600">'Page 1'!$I$41</definedName>
    <definedName name="F001P550O6800">'Page 1'!$J$41</definedName>
    <definedName name="F001P550OthBudgFY">'Summary Page 1'!$F$60</definedName>
    <definedName name="F001P550Personnel">'Page 1'!$E$41</definedName>
    <definedName name="F001P550SBBudgFY">'Summary Page 1'!$D$60</definedName>
    <definedName name="F001P550TotBudgFY">'Summary Page 1'!$H$60</definedName>
    <definedName name="F001P610">'Page 1'!$L$18</definedName>
    <definedName name="F001P610O6100">'Page 1'!$F$18</definedName>
    <definedName name="F001P610O6200">'Page 1'!$G$18</definedName>
    <definedName name="F001P610O630064006500">'Page 1'!$H$18</definedName>
    <definedName name="F001P610O6600">'Page 1'!$I$18</definedName>
    <definedName name="F001P610O6800">'Page 1'!$J$18</definedName>
    <definedName name="F001P610OthBudgFY">'Summary Page 1'!$F$41</definedName>
    <definedName name="F001P610Personnel">'Page 1'!$E$18</definedName>
    <definedName name="F001P610SBBudgFY">'Summary Page 1'!$D$41</definedName>
    <definedName name="F001P610TotBudgFY">'Summary Page 1'!$H$41</definedName>
    <definedName name="F001P620">'Page 1'!$L$19</definedName>
    <definedName name="F001P620O6100">'Page 1'!$F$19</definedName>
    <definedName name="F001P620O6200">'Page 1'!$G$19</definedName>
    <definedName name="F001P620O630064006500">'Page 1'!$H$19</definedName>
    <definedName name="F001P620O6600">'Page 1'!$I$19</definedName>
    <definedName name="F001P620O6800">'Page 1'!$J$19</definedName>
    <definedName name="F001P620OthBudgFY">'Summary Page 1'!$F$42</definedName>
    <definedName name="F001P620Personnel">'Page 1'!$E$19</definedName>
    <definedName name="F001P620SBBudgFY">'Summary Page 1'!$D$42</definedName>
    <definedName name="F001P620TotBudgFY">'Summary Page 1'!$H$42</definedName>
    <definedName name="F001P630">'Page 1'!$L$20</definedName>
    <definedName name="F001P630700800900OthBudgFY">'Summary Page 1'!$F$43</definedName>
    <definedName name="F001P630700800900SBBudgFY">'Summary Page 1'!$D$43</definedName>
    <definedName name="F001P630700800900TotBudgFY">'Summary Page 1'!$H$43</definedName>
    <definedName name="F001P630O6100">'Page 1'!$F$20</definedName>
    <definedName name="F001P630O6200">'Page 1'!$G$20</definedName>
    <definedName name="F001P630O630064006500">'Page 1'!$H$20</definedName>
    <definedName name="F001P630O6600">'Page 1'!$I$20</definedName>
    <definedName name="F001P630O6800">'Page 1'!$J$20</definedName>
    <definedName name="F001P630Personnel">'Page 1'!$E$20</definedName>
    <definedName name="F001P700800900">'Page 1'!$L$21</definedName>
    <definedName name="F001P700800900O6100">'Page 1'!$F$21</definedName>
    <definedName name="F001P700800900O6200">'Page 1'!$G$21</definedName>
    <definedName name="F001P700800900O630064006500">'Page 1'!$H$21</definedName>
    <definedName name="F001P700800900O6600">'Page 1'!$I$21</definedName>
    <definedName name="F001P700800900O6800">'Page 1'!$J$21</definedName>
    <definedName name="F001P700800900Personnel">'Page 1'!$E$21</definedName>
    <definedName name="F001TotalExp">'Page 1'!$L$42</definedName>
    <definedName name="F001TotExpCurrFY">'Page 1'!$K$42</definedName>
    <definedName name="F010O6590BudgFY">'Page 3'!$P$9</definedName>
    <definedName name="F011CSFBL">'Page 8'!$F$45</definedName>
    <definedName name="F011P100F1000">'Page 3'!$J$6</definedName>
    <definedName name="F011P100F2100">'Page 3'!$J$9</definedName>
    <definedName name="F011P100F2200">'Page 3'!$J$10</definedName>
    <definedName name="F011P100Subtotal">'Page 3'!$J$11</definedName>
    <definedName name="F011P200F1000">'Page 3'!$J$12</definedName>
    <definedName name="F011P200F2100">'Page 3'!$J$14</definedName>
    <definedName name="F011P200F2200">'Page 3'!$J$15</definedName>
    <definedName name="F011P200Subtotal">'Page 3'!$J$16</definedName>
    <definedName name="F011POtherF1000">'Page 3'!$J$17</definedName>
    <definedName name="F011POtherF2100">'Page 3'!$J$19</definedName>
    <definedName name="F011POtherF2200">'Page 3'!$J$20</definedName>
    <definedName name="F011POtherSubtotal">'Page 3'!$J$21</definedName>
    <definedName name="F011TotalExp">'Page 3'!$J$22</definedName>
    <definedName name="F012CSFBL">'Page 8'!$G$45</definedName>
    <definedName name="F012P100F1000">'Page 3'!$J$23</definedName>
    <definedName name="F012P100F2100">'Page 3'!$J$26</definedName>
    <definedName name="F012P100F2200">'Page 3'!$J$27</definedName>
    <definedName name="F012P100Subtotal">'Page 3'!$J$28</definedName>
    <definedName name="F012P200F1000">'Page 3'!$J$29</definedName>
    <definedName name="F012P200F2100">'Page 3'!$J$31</definedName>
    <definedName name="F012P200F2200">'Page 3'!$J$32</definedName>
    <definedName name="F012P200Subtotal">'Page 3'!$J$33</definedName>
    <definedName name="F012POtherF1000">'Page 3'!$J$34</definedName>
    <definedName name="F012POtherF2100">'Page 3'!$J$36</definedName>
    <definedName name="F012POtherF2200">'Page 3'!$J$37</definedName>
    <definedName name="F012POtherSubtotal">'Page 3'!$J$38</definedName>
    <definedName name="F012TotalExp">'Page 3'!$J$39</definedName>
    <definedName name="F013CSFBL">'Page 8'!$H$45</definedName>
    <definedName name="F013P100F1000">'Page 3'!$J$40</definedName>
    <definedName name="F013P100F2100">'Page 3'!$J$43</definedName>
    <definedName name="F013P100F2200">'Page 3'!$J$44</definedName>
    <definedName name="F013P100Subtotal">'Page 3'!$J$45</definedName>
    <definedName name="F013P200F1000">'Page 3'!$J$46</definedName>
    <definedName name="F013P200F2100">'Page 3'!$J$48</definedName>
    <definedName name="F013P200F2200">'Page 3'!$J$49</definedName>
    <definedName name="F013P200Subtotal">'Page 3'!$J$50</definedName>
    <definedName name="F013P530F1000">'Page 3'!$J$51</definedName>
    <definedName name="F013POtherF1000">'Page 3'!$J$53</definedName>
    <definedName name="F013POtherF21002200">'Page 3'!$J$55</definedName>
    <definedName name="F013POtherSubtotal">'Page 3'!$J$56</definedName>
    <definedName name="F013TotalExp">'Page 3'!$J$57</definedName>
    <definedName name="F020ClassSizeRedBudgFY">'Page 6'!$H$42</definedName>
    <definedName name="F020DropPrevProgBudgFY">'Page 6'!$H$43</definedName>
    <definedName name="F020InstrImprProgBudgFY">'Page 6'!$H$44</definedName>
    <definedName name="F020TeachCompIncrBudgFY">'Page 6'!$H$41</definedName>
    <definedName name="F020TotBudgFY">'Page 6'!$H$45</definedName>
    <definedName name="F020TotCurrFY">'Page 6'!$F$45</definedName>
    <definedName name="F050BudgFY">'Page 6'!$T$5</definedName>
    <definedName name="F050CurrFY">'Page 6'!$S$5</definedName>
    <definedName name="F071BudgFY">'Supplement'!$M$18</definedName>
    <definedName name="F071CurrFY">'Supplement'!$L$18</definedName>
    <definedName name="F071F1000">'Supplement'!$M$7</definedName>
    <definedName name="F071F1000Personnel">'Supplement'!$E$8</definedName>
    <definedName name="F071F2100">'Supplement'!$M$9</definedName>
    <definedName name="F071F2100Personnel">'Supplement'!$E$10</definedName>
    <definedName name="F071F2200">'Supplement'!$M$11</definedName>
    <definedName name="F071F2200Personnel">'Supplement'!$E$11</definedName>
    <definedName name="F071F2300">'Supplement'!$M$12</definedName>
    <definedName name="F071F2300Personnel">'Supplement'!$E$12</definedName>
    <definedName name="F071F2400">'Supplement'!$M$13</definedName>
    <definedName name="F071F2400Personnel">'Supplement'!$E$13</definedName>
    <definedName name="F071F2500">'Supplement'!$M$14</definedName>
    <definedName name="F071F2500Personnel">'Supplement'!$E$14</definedName>
    <definedName name="F071F2600">'Supplement'!$M$15</definedName>
    <definedName name="F071F2600Personnel">'Supplement'!$E$15</definedName>
    <definedName name="F071F2700">'Supplement'!$M$16</definedName>
    <definedName name="F071F2700Personnel">'Supplement'!$E$16</definedName>
    <definedName name="F071F2900">'Supplement'!$M$17</definedName>
    <definedName name="F071F2900Personnel">'Supplement'!$E$17</definedName>
    <definedName name="F072BudgFY">'Supplement'!$M$30</definedName>
    <definedName name="F072CurrFY">'Supplement'!$L$30</definedName>
    <definedName name="F072F1000">'Supplement'!$M$19</definedName>
    <definedName name="F072F1000Personnel">'Supplement'!$E$20</definedName>
    <definedName name="F072F2100">'Supplement'!$M$21</definedName>
    <definedName name="F072F2100Personnel">'Supplement'!$E$22</definedName>
    <definedName name="F072F2200">'Supplement'!$M$23</definedName>
    <definedName name="F072F2200Personnel">'Supplement'!$E$23</definedName>
    <definedName name="F072F2300">'Supplement'!$M$24</definedName>
    <definedName name="F072F2300Personnel">'Supplement'!$E$24</definedName>
    <definedName name="F072F2400">'Supplement'!$M$25</definedName>
    <definedName name="F072F2400Personnel">'Supplement'!$E$25</definedName>
    <definedName name="F072F2500">'Supplement'!$M$26</definedName>
    <definedName name="F072F2500Personnel">'Supplement'!$E$26</definedName>
    <definedName name="F072F2600">'Supplement'!$M$27</definedName>
    <definedName name="F072F2600Personnel">'Supplement'!$E$27</definedName>
    <definedName name="F072F2700">'Supplement'!$M$28</definedName>
    <definedName name="F072F2700Personnel">'Supplement'!$E$28</definedName>
    <definedName name="F072F2900">'Supplement'!$M$29</definedName>
    <definedName name="F072F2900Personnel">'Supplement'!$E$29</definedName>
    <definedName name="F100130BudgFY">'Page 6'!$J$7</definedName>
    <definedName name="F100130Personnel">'Page 6'!$G$7</definedName>
    <definedName name="F100P200F2100TotBudgFY">'Summary Page 1'!$H$47</definedName>
    <definedName name="F140150BudgFY">'Page 6'!$J$8</definedName>
    <definedName name="F140150Personnel">'Page 6'!$G$8</definedName>
    <definedName name="F160BudgFY">'Page 6'!$J$9</definedName>
    <definedName name="F160Personnel">'Page 6'!$G$9</definedName>
    <definedName name="F170180BudgFY">'Page 6'!$J$10</definedName>
    <definedName name="F170180Personnel">'Page 6'!$G$10</definedName>
    <definedName name="F190BudgFY">'Page 6'!$J$11</definedName>
    <definedName name="F190Personnel">'Page 6'!$G$11</definedName>
    <definedName name="F200BudgFY">'Page 6'!$J$12</definedName>
    <definedName name="F200Personnel">'Page 6'!$G$12</definedName>
    <definedName name="F210BudgFY">'Page 6'!$J$13</definedName>
    <definedName name="F210Personnel">'Page 6'!$G$13</definedName>
    <definedName name="F220BudgFY">'Page 6'!$J$14</definedName>
    <definedName name="F220Personnel">'Page 6'!$G$14</definedName>
    <definedName name="F230BudgFY">'Page 6'!$J$15</definedName>
    <definedName name="F230Personnel">'Page 6'!$G$15</definedName>
    <definedName name="F240BudgFY">'Page 6'!$J$16</definedName>
    <definedName name="F240Personnel">'Page 6'!$G$16</definedName>
    <definedName name="F250BudgFY">'Page 6'!$J$17</definedName>
    <definedName name="F250Personnel">'Page 6'!$G$17</definedName>
    <definedName name="F260270BudgFY">'Page 6'!$J$18</definedName>
    <definedName name="F260270Personnel">'Page 6'!$G$18</definedName>
    <definedName name="F280BudgFY">'Page 6'!$J$19</definedName>
    <definedName name="F280Personnel">'Page 6'!$G$19</definedName>
    <definedName name="F290BudgFY">'Page 6'!$J$20</definedName>
    <definedName name="F290Personnel">'Page 6'!$G$20</definedName>
    <definedName name="F300399OtherBudgFY">'Page 6'!$J$23</definedName>
    <definedName name="F300399OtherPersonnel">'Page 6'!$G$23</definedName>
    <definedName name="F374BudgFY">'Page 6'!$J$21</definedName>
    <definedName name="F374Personnel">'Page 6'!$G$21</definedName>
    <definedName name="F378BudgFY">'Page 6'!$J$22</definedName>
    <definedName name="F378Personnel">'Page 6'!$G$22</definedName>
    <definedName name="F400BudgFY">'Page 6'!$J$26</definedName>
    <definedName name="F400Personnel">'Page 6'!$G$26</definedName>
    <definedName name="F410BudgFY">'Page 6'!$J$27</definedName>
    <definedName name="F410Personnel">'Page 6'!$G$27</definedName>
    <definedName name="F420BudgFY">'Page 6'!$J$28</definedName>
    <definedName name="F420Personnel">'Page 6'!$G$28</definedName>
    <definedName name="F425BudgFY">'Page 6'!$J$29</definedName>
    <definedName name="F425Personnel">'Page 6'!$G$29</definedName>
    <definedName name="F430BudgFY">'Page 6'!$J$30</definedName>
    <definedName name="F430Personnel">'Page 6'!$G$30</definedName>
    <definedName name="F435BudgFY">'Page 6'!$J$31</definedName>
    <definedName name="F435Personnel">'Page 6'!$G$31</definedName>
    <definedName name="F450BudgFY">'Page 6'!$J$32</definedName>
    <definedName name="F450Personnel">'Page 6'!$G$32</definedName>
    <definedName name="F460BudgFY">'Page 6'!$J$35</definedName>
    <definedName name="F460Personnel">'Page 6'!$G$35</definedName>
    <definedName name="F465499BudgFY">'Page 6'!$J$36</definedName>
    <definedName name="F465499Personnel">'Page 6'!$G$36</definedName>
    <definedName name="F500BudgFY">'Page 6'!$T$8</definedName>
    <definedName name="F500CurrFY">'Page 6'!$S$8</definedName>
    <definedName name="F510BudgFY">'Page 6'!$T$9</definedName>
    <definedName name="F510CurrFY">'Page 6'!$S$9</definedName>
    <definedName name="F515BudgFY">'Page 6'!$T$10</definedName>
    <definedName name="F515CurrFY">'Page 6'!$S$10</definedName>
    <definedName name="F520BudgFY">'Page 6'!$T$11</definedName>
    <definedName name="F520CurrFY">'Page 6'!$S$11</definedName>
    <definedName name="F525BudgFY">'Page 6'!$T$12</definedName>
    <definedName name="F525CurrFY">'Page 6'!$S$12</definedName>
    <definedName name="F526BudgFY">'Page 6'!$T$13</definedName>
    <definedName name="F526CurrFY">'Page 6'!$S$13</definedName>
    <definedName name="F530BudgFY">'Page 6'!$T$14</definedName>
    <definedName name="F530CurrFY">'Page 6'!$S$14</definedName>
    <definedName name="F535BudgFY">'Page 6'!$T$15</definedName>
    <definedName name="F535CurrFY">'Page 6'!$S$15</definedName>
    <definedName name="F540BudgFY">'Page 6'!$T$16</definedName>
    <definedName name="F540CurrFY">'Page 6'!$S$16</definedName>
    <definedName name="F545BudgFY">'Page 6'!$T$17</definedName>
    <definedName name="F545CurrFY">'Page 6'!$S$17</definedName>
    <definedName name="F550BudgFY">'Page 6'!$T$18</definedName>
    <definedName name="F550CurrFY">'Page 6'!$S$18</definedName>
    <definedName name="F555BudgFY">'Page 6'!$T$19</definedName>
    <definedName name="F555CurrFY">'Page 6'!$S$19</definedName>
    <definedName name="F565BudgFY">'Page 6'!$T$20</definedName>
    <definedName name="F565CurrFY">'Page 6'!$S$20</definedName>
    <definedName name="F570BudgFY">'Page 6'!$T$21</definedName>
    <definedName name="F570CurrFY">'Page 6'!$S$21</definedName>
    <definedName name="F575BudgFY">'Page 6'!$T$22</definedName>
    <definedName name="F575CurrFY">'Page 6'!$S$22</definedName>
    <definedName name="F580BudgFY">'Page 6'!$T$23</definedName>
    <definedName name="F580CurrFY">'Page 6'!$S$23</definedName>
    <definedName name="F585BudgFY">'Page 6'!$T$24</definedName>
    <definedName name="F585CurrFY">'Page 6'!$S$24</definedName>
    <definedName name="F590BudgFY">'Page 6'!$T$25</definedName>
    <definedName name="F590CurrFY">'Page 6'!$S$25</definedName>
    <definedName name="F595BudgFY">'Page 6'!$T$26</definedName>
    <definedName name="F595CurrFY">'Page 6'!$S$26</definedName>
    <definedName name="F596BudgFY">'Page 6'!$T$27</definedName>
    <definedName name="F596CurrFY">'Page 6'!$S$27</definedName>
    <definedName name="F610BudgFYNewConstruction">'Page 5'!$E$23</definedName>
    <definedName name="F610BudgFYO6150">'Page 5'!$E$10</definedName>
    <definedName name="F610BudgFYO6200">'Page 5'!$E$11</definedName>
    <definedName name="F610BudgFYO6450">'Page 5'!$E$12</definedName>
    <definedName name="F610BudgFYO6710">'Page 5'!$E$13</definedName>
    <definedName name="F610BudgFYO6720">'Page 5'!$E$14</definedName>
    <definedName name="F610BudgFYO6731">'Page 5'!$E$15</definedName>
    <definedName name="F610BudgFYO6734">'Page 5'!$E$16</definedName>
    <definedName name="F610BudgFYO6737">'Page 5'!$E$17</definedName>
    <definedName name="F610BudgFYO6831">'Page 5'!$E$18</definedName>
    <definedName name="F610BudgFYO6841">'Page 5'!$E$19</definedName>
    <definedName name="F610BudgFYOther">'Page 5'!$E$24</definedName>
    <definedName name="F610BudgFYRenovation">'Page 5'!$E$22</definedName>
    <definedName name="F610F1000">'Page 4'!$K$9</definedName>
    <definedName name="F610F21002200">'Page 4'!$K$11</definedName>
    <definedName name="F610F2300240025002900">'Page 4'!$K$13</definedName>
    <definedName name="F610F2600">'Page 4'!$K$14</definedName>
    <definedName name="F610F2700">'Page 4'!$K$15</definedName>
    <definedName name="F610F3000">'Page 4'!$K$16</definedName>
    <definedName name="F610F4000">'Page 4'!$K$17</definedName>
    <definedName name="F610F5000">'Page 4'!$K$18</definedName>
    <definedName name="F610O6731">'Page 4'!$B$33</definedName>
    <definedName name="F610O6734">'Page 4'!$B$34</definedName>
    <definedName name="F610O6737">'Page 4'!$B$35</definedName>
    <definedName name="F610Override">'Page 4'!$K$8</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'Page 4'!$K$19</definedName>
    <definedName name="F610TotalCurrFY">'Page 4'!$J$19</definedName>
    <definedName name="F620BudgFY">'Page 6'!#REF!</definedName>
    <definedName name="F620BudgFYNewConstruction">'Page 5'!$K$23</definedName>
    <definedName name="F620BudgFYO6150">'Page 5'!$K$10</definedName>
    <definedName name="F620BudgFYO6200">'Page 5'!$K$11</definedName>
    <definedName name="F620BudgFYO6450">'Page 5'!$K$12</definedName>
    <definedName name="F620BudgFYO6710">'Page 5'!$K$13</definedName>
    <definedName name="F620BudgFYO6720">'Page 5'!$K$14</definedName>
    <definedName name="F620BudgFYO6731">'Page 5'!$K$15</definedName>
    <definedName name="F620BudgFYO6734">'Page 5'!$K$16</definedName>
    <definedName name="F620BudgFYO6737">'Page 5'!$K$17</definedName>
    <definedName name="F620BudgFYO6831">'Page 5'!$K$18</definedName>
    <definedName name="F620BudgFYO6841">'Page 5'!$K$19</definedName>
    <definedName name="F620BudgFYOther">'Page 5'!$K$24</definedName>
    <definedName name="F620BudgFYRenovation">'Page 5'!$K$22</definedName>
    <definedName name="F620CurrFY">'Page 6'!#REF!</definedName>
    <definedName name="F620TotalBudgFY">'Page 5'!$K$8</definedName>
    <definedName name="F620TotalCurrFY">'Page 5'!$J$8</definedName>
    <definedName name="F630BudgFYNewConstruction">'Page 5'!$G$23</definedName>
    <definedName name="F630BudgFYO6150">'Page 5'!$G$10</definedName>
    <definedName name="F630BudgFYO6200">'Page 5'!$G$11</definedName>
    <definedName name="F630BudgFYO6450">'Page 5'!$G$12</definedName>
    <definedName name="F630BudgFYO6710">'Page 5'!$G$13</definedName>
    <definedName name="F630BudgFYO6720">'Page 5'!$G$14</definedName>
    <definedName name="F630BudgFYO6731">'Page 5'!$G$15</definedName>
    <definedName name="F630BudgFYO6734">'Page 5'!$G$16</definedName>
    <definedName name="F630BudgFYO6737">'Page 5'!$G$17</definedName>
    <definedName name="F630BudgFYO6831">'Page 5'!$G$18</definedName>
    <definedName name="F630BudgFYO6841">'Page 5'!$G$19</definedName>
    <definedName name="F630BudgFYOther">'Page 5'!$G$24</definedName>
    <definedName name="F630BudgFYRenovation">'Page 5'!$G$22</definedName>
    <definedName name="F630TotalBudgFY">'Page 5'!$G$8</definedName>
    <definedName name="F630TotalCurrFY">'Page 5'!$F$8</definedName>
    <definedName name="F639BudgFY">'Page 6'!$T$28</definedName>
    <definedName name="F639CurrFY">'Page 6'!$S$28</definedName>
    <definedName name="F650BudgFY">'Page 6'!$T$29</definedName>
    <definedName name="F650CurrFY">'Page 6'!$S$29</definedName>
    <definedName name="F660BudgFY">'Page 6'!$T$30</definedName>
    <definedName name="F660CurrFY">'Page 6'!$S$30</definedName>
    <definedName name="F665BudgFY">'Page 6'!$T$31</definedName>
    <definedName name="F665CurrFY">'Page 6'!$S$31</definedName>
    <definedName name="F686BudgFY">'Page 6'!$T$32</definedName>
    <definedName name="F686CurrFY">'Page 6'!$S$32</definedName>
    <definedName name="F691BudgFY">'Page 6'!$T$33</definedName>
    <definedName name="F691CurrFY">'Page 6'!$S$33</definedName>
    <definedName name="F695BudgFYNewConstruction">'Page 5'!$I$23</definedName>
    <definedName name="F695BudgFYO6150">'Page 5'!$I$10</definedName>
    <definedName name="F695BudgFYO6200">'Page 5'!$I$11</definedName>
    <definedName name="F695BudgFYO6450">'Page 5'!$I$12</definedName>
    <definedName name="F695BudgFYO6710">'Page 5'!$I$13</definedName>
    <definedName name="F695BudgFYO6720">'Page 5'!$I$14</definedName>
    <definedName name="F695BudgFYO6731">'Page 5'!$I$15</definedName>
    <definedName name="F695BudgFYO6734">'Page 5'!$I$16</definedName>
    <definedName name="F695BudgFYO6737">'Page 5'!$I$17</definedName>
    <definedName name="F695BudgFYO6831">'Page 5'!$I$18</definedName>
    <definedName name="F695BudgFYO6841">'Page 5'!$I$19</definedName>
    <definedName name="F695BudgFYOther">'Page 5'!$I$24</definedName>
    <definedName name="F695TotalBudgFY">'Page 5'!$I$8</definedName>
    <definedName name="F695TotalCurrFY">'Page 5'!$H$8</definedName>
    <definedName name="F700BudgFY">'Page 6'!$T$34</definedName>
    <definedName name="F700CurrFY">'Page 6'!$S$34</definedName>
    <definedName name="F720BudgFY">'Page 6'!$T$35</definedName>
    <definedName name="F720CurrFY">'Page 6'!$S$35</definedName>
    <definedName name="F9__OPEBBudgFY">'Page 6'!$T$40</definedName>
    <definedName name="F9__OPEBCurrFY">'Page 6'!$S$40</definedName>
    <definedName name="F9__OtherBudgFY">'Page 6'!$T$41</definedName>
    <definedName name="F9__OtherCurrFY">'Page 6'!$S$41</definedName>
    <definedName name="F9__SelfInsBudgFY">'Page 6'!$T$38</definedName>
    <definedName name="F9__SelfInsCurrFY">'Page 6'!$S$38</definedName>
    <definedName name="F955BudgFY">'Page 6'!$T$39</definedName>
    <definedName name="F955CurrFY">'Page 6'!$S$39</definedName>
    <definedName name="FiscalYear" localSheetId="0">'Cover'!$A$3</definedName>
    <definedName name="Footnote1">'Page 8'!$B$48</definedName>
    <definedName name="GBLBudgFY">'Page 7'!$J$56</definedName>
    <definedName name="InterestEarnedCurrFY">'Page 8'!$J$41</definedName>
    <definedName name="JTEDBudgFY">'Page 2'!$G$14</definedName>
    <definedName name="JTEDCurrFY">'Page 2'!$F$14</definedName>
    <definedName name="MOFoodService">'Instructions'!$C$18</definedName>
    <definedName name="OtherFundsBudgFY">'Page 6'!$T$36</definedName>
    <definedName name="OtherFundsCurrFY">'Page 6'!$S$36</definedName>
    <definedName name="Page1">'Page 1'!$A$1:$N$45</definedName>
    <definedName name="Page1l27">'Instructions'!$C$10</definedName>
    <definedName name="Page1l28">'Instructions'!$C$11</definedName>
    <definedName name="Page1l29">'Instructions'!$C$12</definedName>
    <definedName name="Page1l4">'Instructions'!$C$8</definedName>
    <definedName name="Page1l9">'Instructions'!$C$9</definedName>
    <definedName name="Page2">'Page 2'!$A$3:$T$48</definedName>
    <definedName name="Page2l45">'Instructions'!$C$14</definedName>
    <definedName name="Page2l6and8">'Instructions'!$C$15</definedName>
    <definedName name="Page2n1">'Instructions'!$C$13</definedName>
    <definedName name="Page2n2">'Instructions'!$C$16</definedName>
    <definedName name="Page2n4">'Instructions'!$C$18</definedName>
    <definedName name="Page3">'Page 4'!$A$1:$O$40</definedName>
    <definedName name="Page3_13">'Instructions'!$C$27</definedName>
    <definedName name="Page3Gen">'Instructions'!$C$26</definedName>
    <definedName name="Page3l40">'Instructions'!$C$28</definedName>
    <definedName name="Page4">'[1]Page 5'!$A$1:$O$44</definedName>
    <definedName name="Page4f5">'Instructions'!$C$30</definedName>
    <definedName name="Page4L10">'Instructions'!$C$29</definedName>
    <definedName name="Page5">'Page 6'!$A$1:$U$40</definedName>
    <definedName name="Page5SelectExp">'Instructions'!$C$31</definedName>
    <definedName name="Page6">'Page 7'!$A$1:$M$71</definedName>
    <definedName name="Page6F456">'Instructions'!$C$34</definedName>
    <definedName name="Page6F457">'Instructions'!$C$35</definedName>
    <definedName name="Page6l16">'Instructions'!$C$33</definedName>
    <definedName name="Page6l2">'Instructions'!$C$39</definedName>
    <definedName name="Page6l2and3">'Instructions'!$C$36</definedName>
    <definedName name="Page6l33">'Instructions'!$C$38</definedName>
    <definedName name="Page6l4">'Instructions'!$C$37</definedName>
    <definedName name="Page7" localSheetId="8">'Page 8'!$A$1:$K$48</definedName>
    <definedName name="Page7Gen">'Instructions'!$C$40</definedName>
    <definedName name="Page7l1">'Instructions'!$C$41</definedName>
    <definedName name="Page7l10">'Instructions'!$C$67</definedName>
    <definedName name="Page7l2athroughb">'Instructions'!$C$42</definedName>
    <definedName name="Page7l2b">'Instructions'!$C$43</definedName>
    <definedName name="Page7l3">'Instructions'!$C$44</definedName>
    <definedName name="Page7l3a">'Instructions'!$C$46</definedName>
    <definedName name="Page7l3b">'Instructions'!$C$48</definedName>
    <definedName name="Page7l3c">'Instructions'!$C$49</definedName>
    <definedName name="Page7l4">'Instructions'!$C$51</definedName>
    <definedName name="Page7l5">'Instructions'!$C$52</definedName>
    <definedName name="Page7l5d">'Instructions'!$C$53</definedName>
    <definedName name="Page7l6">'Instructions'!$C$54</definedName>
    <definedName name="Page7l7">'Instructions'!$C$56</definedName>
    <definedName name="Page7l8a">'Instructions'!$C$57</definedName>
    <definedName name="Page7l8b">'Instructions'!$C$58</definedName>
    <definedName name="Page7l8c">'Instructions'!$C$59</definedName>
    <definedName name="Page7l8d">'Instructions'!$C$60</definedName>
    <definedName name="Page7l8e">'Instructions'!$C$61</definedName>
    <definedName name="Page7l8f">'Instructions'!$C$62</definedName>
    <definedName name="Page7l8g">'Instructions'!$C$63</definedName>
    <definedName name="Page7l8h">'Instructions'!$C$64</definedName>
    <definedName name="Page7l8i">'Instructions'!$C$65</definedName>
    <definedName name="Page7l9">'Instructions'!$C$66</definedName>
    <definedName name="Page8lA10">'Instructions'!$C$73</definedName>
    <definedName name="Page8lA2">'Instructions'!$C$68</definedName>
    <definedName name="Page8lA3">'Instructions'!$C$69</definedName>
    <definedName name="Page8lA6">'Instructions'!$C$70</definedName>
    <definedName name="Page8lA8">'Instructions'!$C$71</definedName>
    <definedName name="Page8lA9">'Instructions'!$C$72</definedName>
    <definedName name="Page8lB2">'Instructions'!$C$75</definedName>
    <definedName name="Page8lB4">'Instructions'!$C$76</definedName>
    <definedName name="Page8lB5">'Instructions'!$C$77</definedName>
    <definedName name="Page8lB6">'Instructions'!$C$79</definedName>
    <definedName name="PerfPay">'Page 2'!$R$13</definedName>
    <definedName name="PrimTaxRateCurrFY">'Cover'!$N$13</definedName>
    <definedName name="_xlnm.Print_Area" localSheetId="0">'Cover'!$A$1:$R$41</definedName>
    <definedName name="_xlnm.Print_Area" localSheetId="13">'Instructions'!$A$1:$D$92</definedName>
    <definedName name="_xlnm.Print_Area" localSheetId="1">'Page 1'!$A$1:$N$45</definedName>
    <definedName name="_xlnm.Print_Area" localSheetId="2">'Page 2'!$A$1:$S$47</definedName>
    <definedName name="_xlnm.Print_Area" localSheetId="4">'Page 4'!$A$1:$M$41</definedName>
    <definedName name="_xlnm.Print_Area" localSheetId="6">'Page 6'!$A$1:$U$50</definedName>
    <definedName name="_xlnm.Print_Area" localSheetId="7">'Page 7'!$A$1:$M$74</definedName>
    <definedName name="_xlnm.Print_Area" localSheetId="8">'Page 8'!$A$1:$K$53</definedName>
    <definedName name="_xlnm.Print_Area" localSheetId="10">'Summary Page 1'!$A$1:$I$61</definedName>
    <definedName name="_xlnm.Print_Area" localSheetId="11">'Summary Page 2'!$A$1:$K$53</definedName>
    <definedName name="_xlnm.Print_Area" localSheetId="9">'Supplement'!$A$1:$O$31</definedName>
    <definedName name="_xlnm.Print_Area" localSheetId="12">'Truth in Tax'!$A$1:$M$51</definedName>
    <definedName name="_xlnm.Print_Titles" localSheetId="13">'Instructions'!$1:$1</definedName>
    <definedName name="PriorYearADM">'Summary Page 1'!$C$13</definedName>
    <definedName name="PymtsToCSCSFBL">'Page 8'!$J$45</definedName>
    <definedName name="SalaryInc">'Instructions'!$C$19</definedName>
    <definedName name="SalaryIncl1and2">'Instructions'!$C$20</definedName>
    <definedName name="SalaryIncl3and4">'Instructions'!$C$21</definedName>
    <definedName name="SalaryIncl6">'Instructions'!$C$24</definedName>
    <definedName name="SalaryIncl7">'Instructions'!$C$25</definedName>
    <definedName name="SpecProgOverride">'Page 7'!$J$21</definedName>
    <definedName name="SPEDCareerEdBudgFY">'Page 2'!$G$13</definedName>
    <definedName name="SPEDCareerEdCurrFY">'Page 2'!$F$13</definedName>
    <definedName name="SPEDELLCompInstrBudgFY">'Page 2'!$G$11</definedName>
    <definedName name="SPEDELLCompInstrCurrFY">'Page 2'!$F$11</definedName>
    <definedName name="SPEDELLIncCostBudgFY">'Page 2'!$G$10</definedName>
    <definedName name="SPEDELLIncCostCurrFY">'Page 2'!$F$10</definedName>
    <definedName name="SPEDGiftedEdBudgFY">'Page 2'!$G$8</definedName>
    <definedName name="SPEDGiftedEdCurrFY">'Page 2'!$F$8</definedName>
    <definedName name="SPEDRemedialEdBudgFY">'Page 2'!$G$9</definedName>
    <definedName name="SPEDRemedialEdCurrFY">'Page 2'!$F$9</definedName>
    <definedName name="SPEDStaff">'Summary Page 2'!$K$46</definedName>
    <definedName name="SPEDTeacher">'Summary Page 2'!$K$45</definedName>
    <definedName name="SPEDTotBudgFY">'Page 2'!$G$15</definedName>
    <definedName name="SPEDVocTechEdBudgFY">'Page 2'!$G$12</definedName>
    <definedName name="SPEDVocTechEdCurrFY">'Page 2'!$F$12</definedName>
    <definedName name="SSA_MO">'Page 7'!$J$23</definedName>
    <definedName name="SSA_UCO">'Page 7'!$M$23</definedName>
    <definedName name="SSAOriginalBudget">'Truth in Tax'!$G$22</definedName>
    <definedName name="Summ_Page1_StudentCount">'Instructions'!$C$85</definedName>
    <definedName name="Summ_Page2_CSF">'Instructions'!#REF!</definedName>
    <definedName name="Summ_Page2_SPlant">'Instructions'!#REF!</definedName>
    <definedName name="Summ_Page2SPlant">'Instructions'!#REF!</definedName>
    <definedName name="SUMMARY_Page1">'Summary Page 1'!$A$1:$I$63</definedName>
    <definedName name="SUMMARY_Page2">'Summary Page 2'!$A$1:$K$53</definedName>
    <definedName name="SUMMARY2" localSheetId="11">'Summary Page 2'!$B$1:$L$34</definedName>
    <definedName name="Suppl_ELL">'Instructions'!$C$80</definedName>
    <definedName name="Suppl_P.1_2" localSheetId="9">'Supplement'!$A$1:$O$18</definedName>
    <definedName name="Suppl_P.1_2">#REF!</definedName>
    <definedName name="Suppl_P.2_UCO">'Instructions'!#REF!</definedName>
    <definedName name="Suppl_P12_540">'Instructions'!#REF!</definedName>
    <definedName name="Suppl_Page2_UCO">'Instructions'!#REF!</definedName>
    <definedName name="SupplCover">#REF!</definedName>
    <definedName name="SuppP2UCO">'Instructions'!#REF!</definedName>
    <definedName name="System" localSheetId="0">'Cover'!$A$6</definedName>
    <definedName name="TaxRates">'Instructions'!$C$7</definedName>
    <definedName name="TeacherSalaryIncrease">'Page 2'!$R$34</definedName>
    <definedName name="TotAmtCapExped">'Page 7'!$M$58</definedName>
    <definedName name="TotClassSiteFundExpBudgFY">'Page 3'!$J$58</definedName>
    <definedName name="TotClassSiteFundExpCurrFY">'Page 3'!$I$58</definedName>
    <definedName name="TotFedProjFundBudgFY">'Page 6'!$J$24</definedName>
    <definedName name="TotFedProjFundCurrFY">'Page 6'!$I$24</definedName>
    <definedName name="TotSecTaxRateBudgFY">'Cover'!$P$21</definedName>
    <definedName name="TotSecTaxRateCurrFY">'Cover'!$N$21</definedName>
    <definedName name="TotStateProjFundBudgFY">'Page 6'!$J$37</definedName>
    <definedName name="TotStateProjFundCurrFY">'Page 6'!$I$37</definedName>
    <definedName name="TruthinTax">'Instructions'!$C$86</definedName>
    <definedName name="TruthInTaxBaseLmt">'Truth in Tax'!$I$16</definedName>
    <definedName name="TruthInTaxl1">'Instructions'!$C$89</definedName>
    <definedName name="TruthinTaxl2">'Instructions'!$C$90</definedName>
    <definedName name="TruthinTaxl8a">'Instructions'!$C$91</definedName>
    <definedName name="UCBLBudgFY">'Page 8'!$K$32</definedName>
    <definedName name="UCOFundK3ReadExp">'Page 4'!$K$31</definedName>
    <definedName name="UnexpendBudgBal">'Page 8'!$J$40</definedName>
    <definedName name="Z_0F9ECBDE_145C_4D55_87B4_D9130808EEB8_.wvu.PrintArea" localSheetId="0" hidden="1">'Cover'!$A$1:$Q$39</definedName>
    <definedName name="Z_0F9ECBDE_145C_4D55_87B4_D9130808EEB8_.wvu.PrintArea" localSheetId="1" hidden="1">'Page 1'!$A$1:$N$45</definedName>
    <definedName name="Z_0F9ECBDE_145C_4D55_87B4_D9130808EEB8_.wvu.PrintArea" localSheetId="2" hidden="1">'Page 2'!$A$1:$T$49</definedName>
    <definedName name="Z_0F9ECBDE_145C_4D55_87B4_D9130808EEB8_.wvu.PrintArea" localSheetId="3" hidden="1">'Page 3'!$A$1:$R$60</definedName>
    <definedName name="Z_0F9ECBDE_145C_4D55_87B4_D9130808EEB8_.wvu.PrintArea" localSheetId="4" hidden="1">'Page 4'!$A$1:$N$39</definedName>
    <definedName name="Z_0F9ECBDE_145C_4D55_87B4_D9130808EEB8_.wvu.PrintArea" localSheetId="6" hidden="1">'Page 6'!$A$1:$U$44</definedName>
    <definedName name="Z_0F9ECBDE_145C_4D55_87B4_D9130808EEB8_.wvu.PrintArea" localSheetId="7" hidden="1">'Page 7'!$A$1:$M$74</definedName>
    <definedName name="Z_0F9ECBDE_145C_4D55_87B4_D9130808EEB8_.wvu.PrintArea" localSheetId="8" hidden="1">'Page 8'!$A$1:$K$48</definedName>
    <definedName name="Z_0F9ECBDE_145C_4D55_87B4_D9130808EEB8_.wvu.PrintArea" localSheetId="10" hidden="1">'Summary Page 1'!$A$1:$I$61</definedName>
    <definedName name="Z_0F9ECBDE_145C_4D55_87B4_D9130808EEB8_.wvu.PrintArea" localSheetId="11" hidden="1">'Summary Page 2'!$A$1:$K$53</definedName>
    <definedName name="Z_0F9ECBDE_145C_4D55_87B4_D9130808EEB8_.wvu.PrintArea" localSheetId="9" hidden="1">'Supplement'!$A$1:$O$18</definedName>
    <definedName name="Z_0F9ECBDE_145C_4D55_87B4_D9130808EEB8_.wvu.PrintArea" localSheetId="12" hidden="1">'Truth in Tax'!$A$1:$M$49</definedName>
    <definedName name="Z_903F8610_9018_4A51_AB82_3BFF7D9F8301_.wvu.PrintArea" localSheetId="0" hidden="1">'Cover'!$A$1:$Q$39</definedName>
    <definedName name="Z_903F8610_9018_4A51_AB82_3BFF7D9F8301_.wvu.PrintArea" localSheetId="1" hidden="1">'Page 1'!$A$1:$N$45</definedName>
    <definedName name="Z_903F8610_9018_4A51_AB82_3BFF7D9F8301_.wvu.PrintArea" localSheetId="2" hidden="1">'Page 2'!$A$1:$T$49</definedName>
    <definedName name="Z_903F8610_9018_4A51_AB82_3BFF7D9F8301_.wvu.PrintArea" localSheetId="3" hidden="1">'Page 3'!$A$1:$R$60</definedName>
    <definedName name="Z_903F8610_9018_4A51_AB82_3BFF7D9F8301_.wvu.PrintArea" localSheetId="4" hidden="1">'Page 4'!$A$1:$N$39</definedName>
    <definedName name="Z_903F8610_9018_4A51_AB82_3BFF7D9F8301_.wvu.PrintArea" localSheetId="6" hidden="1">'Page 6'!$A$1:$U$44</definedName>
    <definedName name="Z_903F8610_9018_4A51_AB82_3BFF7D9F8301_.wvu.PrintArea" localSheetId="7" hidden="1">'Page 7'!$A$1:$M$74</definedName>
    <definedName name="Z_903F8610_9018_4A51_AB82_3BFF7D9F8301_.wvu.PrintArea" localSheetId="8" hidden="1">'Page 8'!$A$1:$K$48</definedName>
    <definedName name="Z_903F8610_9018_4A51_AB82_3BFF7D9F8301_.wvu.PrintArea" localSheetId="10" hidden="1">'Summary Page 1'!$A$1:$I$61</definedName>
    <definedName name="Z_903F8610_9018_4A51_AB82_3BFF7D9F8301_.wvu.PrintArea" localSheetId="11" hidden="1">'Summary Page 2'!$A$1:$K$53</definedName>
    <definedName name="Z_903F8610_9018_4A51_AB82_3BFF7D9F8301_.wvu.PrintArea" localSheetId="9" hidden="1">'Supplement'!$A$1:$O$18</definedName>
    <definedName name="Z_903F8610_9018_4A51_AB82_3BFF7D9F8301_.wvu.PrintArea" localSheetId="12" hidden="1">'Truth in Tax'!$A$1:$M$49</definedName>
  </definedNames>
  <calcPr fullCalcOnLoad="1" fullPrecision="0"/>
</workbook>
</file>

<file path=xl/sharedStrings.xml><?xml version="1.0" encoding="utf-8"?>
<sst xmlns="http://schemas.openxmlformats.org/spreadsheetml/2006/main" count="1666" uniqueCount="836">
  <si>
    <t>$10,000 is used in these calculations to determine the amounts to include on the truth in taxation hearing notice for a $100,000 home, as property taxes on residential properties are levied at 10% of the assessed valuation per A.R.S. §42-15003.</t>
  </si>
  <si>
    <t>(2)    Detail by object code:</t>
  </si>
  <si>
    <t>450 Gifted Education</t>
  </si>
  <si>
    <t xml:space="preserve">        2000  Support Services</t>
  </si>
  <si>
    <t>Teacher Compensation Increases</t>
  </si>
  <si>
    <t>Class Size Reduction</t>
  </si>
  <si>
    <t xml:space="preserve">            2700  Student Transportation</t>
  </si>
  <si>
    <t xml:space="preserve">        4000  Facilities Acquisition and Construction</t>
  </si>
  <si>
    <t xml:space="preserve">        5000  Debt Service</t>
  </si>
  <si>
    <t>Rentals</t>
  </si>
  <si>
    <t>6641-6643</t>
  </si>
  <si>
    <t>Unrestricted Capital Outlay Override  (1)</t>
  </si>
  <si>
    <t xml:space="preserve">Library Books, Textbooks, </t>
  </si>
  <si>
    <t xml:space="preserve"> &amp; Instructional</t>
  </si>
  <si>
    <t xml:space="preserve">   3000 Oper. of Noninstructional Services</t>
  </si>
  <si>
    <t xml:space="preserve">      2900 Other </t>
  </si>
  <si>
    <t xml:space="preserve">   Regular Education Subsection Subtotal </t>
  </si>
  <si>
    <t xml:space="preserve">   TOTAL EXPENDITURES</t>
  </si>
  <si>
    <t>Total Secondary Tax Rate</t>
  </si>
  <si>
    <t xml:space="preserve">    Other Administrators</t>
  </si>
  <si>
    <t xml:space="preserve">1000    $ </t>
  </si>
  <si>
    <t xml:space="preserve">2000    $ </t>
  </si>
  <si>
    <t xml:space="preserve">3000    $ </t>
  </si>
  <si>
    <t xml:space="preserve">4000    $ </t>
  </si>
  <si>
    <t>(A.R.S. §15-903.E.2)</t>
  </si>
  <si>
    <t>(A.R.S. §§15-903.E.1 and 15-764.A.5)</t>
  </si>
  <si>
    <t>540  Fingerprint</t>
  </si>
  <si>
    <t>, interest on capital leases of</t>
  </si>
  <si>
    <t xml:space="preserve">C.2. </t>
  </si>
  <si>
    <t>, principal on capital leases of</t>
  </si>
  <si>
    <t>, and principal on bonds of</t>
  </si>
  <si>
    <t>, and interest on bonds of</t>
  </si>
  <si>
    <t>DISTRICTWIDE BUDGET</t>
  </si>
  <si>
    <t>Food Service</t>
  </si>
  <si>
    <t xml:space="preserve">     2100, 2200 Support Serv. Students &amp; Instructional Staff</t>
  </si>
  <si>
    <t xml:space="preserve">   Other Programs Subtotal (lines 36-37)</t>
  </si>
  <si>
    <t>Total Expenditures (lines 30, 34, 35, and 38)</t>
  </si>
  <si>
    <t>Total Classroom Site Funds (lines 13, 26, and 39)</t>
  </si>
  <si>
    <t>calculation, but show negative amount here in parentheses.</t>
  </si>
  <si>
    <t>Primary Property Tax Rate Related to Budgeted Expenditures</t>
  </si>
  <si>
    <t xml:space="preserve">          </t>
  </si>
  <si>
    <t>Aids (2)</t>
  </si>
  <si>
    <t xml:space="preserve">  Total Unrestricted Capital Outlay Fund (lines 2-9) </t>
  </si>
  <si>
    <t>Indicate amount budgeted in Fund 500 for M&amp;O purposes</t>
  </si>
  <si>
    <t>Version</t>
  </si>
  <si>
    <t xml:space="preserve">     Proposed</t>
  </si>
  <si>
    <t xml:space="preserve">     Adopted</t>
  </si>
  <si>
    <t xml:space="preserve">     Revised</t>
  </si>
  <si>
    <t>Date</t>
  </si>
  <si>
    <t>contain(s) the data for the budget described above.</t>
  </si>
  <si>
    <t>District Contact Employee:</t>
  </si>
  <si>
    <t>Telephone:</t>
  </si>
  <si>
    <t>Monies deposited in Fund 610 from School Facilities Board for donated land (A.R.S. §15-2041.F)</t>
  </si>
  <si>
    <t>Amount Budgeted in M&amp;O Fund for a Performance Pay Component</t>
  </si>
  <si>
    <t>Calculations for Truth in Taxation Notice</t>
  </si>
  <si>
    <t xml:space="preserve">A. </t>
  </si>
  <si>
    <t xml:space="preserve">C.1. </t>
  </si>
  <si>
    <t>Current Assessed Value</t>
  </si>
  <si>
    <t>Classroom Site Fund 011 - Base Salary</t>
  </si>
  <si>
    <t>Purchased Services</t>
  </si>
  <si>
    <t>Employee Benefits</t>
  </si>
  <si>
    <t xml:space="preserve">  200 Special Education</t>
  </si>
  <si>
    <t>Compensatory Instruction</t>
  </si>
  <si>
    <t>Classroom Site Fund  012 - Performance Pay</t>
  </si>
  <si>
    <t>Classroom Site Fund 013 - Other</t>
  </si>
  <si>
    <t>Classroom Site</t>
  </si>
  <si>
    <t>Instructional Improvement</t>
  </si>
  <si>
    <t>639  Impact Aid Revenue Bond Building</t>
  </si>
  <si>
    <t>720  Impact Aid Revenue Bond Debt Service</t>
  </si>
  <si>
    <t>240 Workforce Investment Act</t>
  </si>
  <si>
    <t>100-130 ESEA Title I - Helping Disadvantaged Children</t>
  </si>
  <si>
    <t xml:space="preserve">B.1. </t>
  </si>
  <si>
    <t xml:space="preserve">B.2. </t>
  </si>
  <si>
    <t xml:space="preserve">(Line C.1 divided by line B.1) x $10,000 </t>
  </si>
  <si>
    <t xml:space="preserve">Classroom Site  </t>
  </si>
  <si>
    <t xml:space="preserve">Maintenance &amp; Operation  </t>
  </si>
  <si>
    <t xml:space="preserve">Unrestricted Capital Outlay  </t>
  </si>
  <si>
    <t>INSTRUCTIONAL IMPROVEMENT FUND (020)</t>
  </si>
  <si>
    <t>Dropout Prevention Programs (M&amp;O purposes)</t>
  </si>
  <si>
    <t>Instructional Improvement Programs (M&amp;O purposes)</t>
  </si>
  <si>
    <t xml:space="preserve">   Special Education Subsection Subtotal </t>
  </si>
  <si>
    <t>$ Increase/</t>
  </si>
  <si>
    <t>Small School Adjustment (from page 7, line 4, columns A and B)</t>
  </si>
  <si>
    <t xml:space="preserve">     2100 Support Services - Students</t>
  </si>
  <si>
    <t>proposed by the Governing Board on</t>
  </si>
  <si>
    <t xml:space="preserve">District, </t>
  </si>
  <si>
    <t xml:space="preserve">   Program 100 Subtotal (lines 1-3)</t>
  </si>
  <si>
    <t xml:space="preserve">  Other Programs (Specify) _____________________</t>
  </si>
  <si>
    <t>Total Expenditures (lines 4, 8, and 12)</t>
  </si>
  <si>
    <t>Total Expenditures (lines 17, 21, and 25)</t>
  </si>
  <si>
    <t xml:space="preserve">   Program 100 Subtotal (lines 14-16)</t>
  </si>
  <si>
    <t xml:space="preserve">        3000  Operation of Noninstructional Services (5)</t>
  </si>
  <si>
    <t xml:space="preserve">     2200 Support Services - Instructional Staff</t>
  </si>
  <si>
    <t xml:space="preserve">      2900 Other</t>
  </si>
  <si>
    <t>420 Ext. School Yr. - Pupils with Disabilities</t>
  </si>
  <si>
    <t>160 ESEA Title IV - 21st Century Schools</t>
  </si>
  <si>
    <t>200 ESEA Title VII - Indian Education</t>
  </si>
  <si>
    <t>260-270 Vocational Education - Basic Grants</t>
  </si>
  <si>
    <t>280 ESEA Title X - Homeless Education</t>
  </si>
  <si>
    <t>210 ESEA Title VI - Flexibility and Accountability</t>
  </si>
  <si>
    <t>140-150 ESEA Title II - Prof. Dev. and Technology</t>
  </si>
  <si>
    <t>170-180 ESEA Title V - Promote Informed Parent Choice</t>
  </si>
  <si>
    <t>190 ESEA Title III - Limited Eng. &amp; Immigrant Students</t>
  </si>
  <si>
    <t>535  Career &amp; Tech. Ed. &amp; Voc. Ed. Projects</t>
  </si>
  <si>
    <t>(5)</t>
  </si>
  <si>
    <t>526  Extracurricular Activities Fees Tax Credit</t>
  </si>
  <si>
    <t>Estimated FTE Certified Employees</t>
  </si>
  <si>
    <t>Property (2)</t>
  </si>
  <si>
    <t>Fund 011</t>
  </si>
  <si>
    <t>Fund 012</t>
  </si>
  <si>
    <t>Fund 013</t>
  </si>
  <si>
    <t>Total Fund 010</t>
  </si>
  <si>
    <t xml:space="preserve">            2600  Operation &amp; Maintenance of Plant</t>
  </si>
  <si>
    <t>% Inc./(Decr.)</t>
  </si>
  <si>
    <t>DISTRICT NAME</t>
  </si>
  <si>
    <t>COUNTY</t>
  </si>
  <si>
    <t xml:space="preserve"> CTD NUMBER</t>
  </si>
  <si>
    <t xml:space="preserve"> STATE OF ARIZONA</t>
  </si>
  <si>
    <t>1.</t>
  </si>
  <si>
    <t xml:space="preserve">$ </t>
  </si>
  <si>
    <t>2.</t>
  </si>
  <si>
    <t xml:space="preserve">  Local</t>
  </si>
  <si>
    <t xml:space="preserve">  Intermediate</t>
  </si>
  <si>
    <t xml:space="preserve">    SCHOOL DISTRICT ANNUAL EXPENDITURE BUDGET</t>
  </si>
  <si>
    <t xml:space="preserve">  State</t>
  </si>
  <si>
    <t xml:space="preserve">  Federal</t>
  </si>
  <si>
    <t xml:space="preserve">  TOTAL</t>
  </si>
  <si>
    <t>3.</t>
  </si>
  <si>
    <t>$</t>
  </si>
  <si>
    <t>BY THE GOVERNING BOARD</t>
  </si>
  <si>
    <t>A.</t>
  </si>
  <si>
    <t>4.</t>
  </si>
  <si>
    <t>5.</t>
  </si>
  <si>
    <t>6.</t>
  </si>
  <si>
    <t>7.</t>
  </si>
  <si>
    <t>B.</t>
  </si>
  <si>
    <t xml:space="preserve">      2700 Student Transportation </t>
  </si>
  <si>
    <t>BUDGETED EXPENDITURES</t>
  </si>
  <si>
    <t>SIGNED</t>
  </si>
  <si>
    <t xml:space="preserve">DISTRICT NAME </t>
  </si>
  <si>
    <t xml:space="preserve">COUNTY </t>
  </si>
  <si>
    <t xml:space="preserve">CTD NUMBER </t>
  </si>
  <si>
    <t>FUND 001 (M&amp;O)</t>
  </si>
  <si>
    <t>Employee</t>
  </si>
  <si>
    <t>Purchased</t>
  </si>
  <si>
    <t>Totals</t>
  </si>
  <si>
    <t>Salaries</t>
  </si>
  <si>
    <t>Benefits</t>
  </si>
  <si>
    <t>Services</t>
  </si>
  <si>
    <t>Supplies</t>
  </si>
  <si>
    <t>Other</t>
  </si>
  <si>
    <t>Budget</t>
  </si>
  <si>
    <t>%</t>
  </si>
  <si>
    <t>Expenditures</t>
  </si>
  <si>
    <t>6300, 6400,</t>
  </si>
  <si>
    <t>Increase/</t>
  </si>
  <si>
    <t>6100</t>
  </si>
  <si>
    <t>6200</t>
  </si>
  <si>
    <t>6500</t>
  </si>
  <si>
    <t>6800</t>
  </si>
  <si>
    <t>Decrease</t>
  </si>
  <si>
    <t>100 Regular Education</t>
  </si>
  <si>
    <t>(1)    Amounts in the Unrestricted Capital Outlay Override line 1 above must be included in the appropriate individual line items for Fund 610 and in the Budget Year Total Column.</t>
  </si>
  <si>
    <t>6641 Library Books</t>
  </si>
  <si>
    <t>6642 Textbooks</t>
  </si>
  <si>
    <t>6643 Instructional Aids</t>
  </si>
  <si>
    <t xml:space="preserve">   2000 Support Services</t>
  </si>
  <si>
    <t xml:space="preserve"> </t>
  </si>
  <si>
    <t xml:space="preserve">      2100 Students</t>
  </si>
  <si>
    <t xml:space="preserve">      2200 Instructional Staff</t>
  </si>
  <si>
    <t xml:space="preserve">      2300 General Administration</t>
  </si>
  <si>
    <t>050  County, City, and Town Grants</t>
  </si>
  <si>
    <t>VERSION</t>
  </si>
  <si>
    <t>Unrestricted Capital Outlay (from Budget, page 4, line 10)</t>
  </si>
  <si>
    <t xml:space="preserve">      2400 School Administration</t>
  </si>
  <si>
    <t xml:space="preserve">   3000 Operation of Noninstructional Services</t>
  </si>
  <si>
    <t>8.</t>
  </si>
  <si>
    <t>9.</t>
  </si>
  <si>
    <t>10.</t>
  </si>
  <si>
    <t>11.</t>
  </si>
  <si>
    <t>12.</t>
  </si>
  <si>
    <t>13.</t>
  </si>
  <si>
    <t>14.</t>
  </si>
  <si>
    <t>15.</t>
  </si>
  <si>
    <t>16.</t>
  </si>
  <si>
    <t>17.</t>
  </si>
  <si>
    <t>18.</t>
  </si>
  <si>
    <t>19.</t>
  </si>
  <si>
    <t>400 Pupil Transportation</t>
  </si>
  <si>
    <t>20.</t>
  </si>
  <si>
    <t>510 Desegregation</t>
  </si>
  <si>
    <t>21.</t>
  </si>
  <si>
    <t>22.</t>
  </si>
  <si>
    <t>530 Dropout Prevention Programs</t>
  </si>
  <si>
    <t>23.</t>
  </si>
  <si>
    <t>24.</t>
  </si>
  <si>
    <t>610 School-Sponsored Cocurricular Activities</t>
  </si>
  <si>
    <t>25.</t>
  </si>
  <si>
    <t>620 School-Sponsored Athletics</t>
  </si>
  <si>
    <t>26.</t>
  </si>
  <si>
    <t>630, 700, 800, 900 Other Programs</t>
  </si>
  <si>
    <t>27.</t>
  </si>
  <si>
    <t>28.</t>
  </si>
  <si>
    <t>220 IDEA Part B</t>
  </si>
  <si>
    <t>071   Structured English Immersion  (1)</t>
  </si>
  <si>
    <t>686  Emergency Deficiencies Correction</t>
  </si>
  <si>
    <t>English Language Learners Supplement</t>
  </si>
  <si>
    <t>Gifted Education</t>
  </si>
  <si>
    <t>% Increase/</t>
  </si>
  <si>
    <t>Remedial Education</t>
  </si>
  <si>
    <t>*</t>
  </si>
  <si>
    <t>Career Education</t>
  </si>
  <si>
    <t>Proposed Ratios for Special Education</t>
  </si>
  <si>
    <t>Teacher-Pupil 1 to</t>
  </si>
  <si>
    <t>Staff-Pupil  1 to</t>
  </si>
  <si>
    <t>Attending</t>
  </si>
  <si>
    <t>072  Compensatory Instruction (1)</t>
  </si>
  <si>
    <t>665  Energy and Water Savings</t>
  </si>
  <si>
    <t>29.</t>
  </si>
  <si>
    <t>30.</t>
  </si>
  <si>
    <t>31.</t>
  </si>
  <si>
    <t>32.</t>
  </si>
  <si>
    <t>SPECIAL PROJECTS</t>
  </si>
  <si>
    <t>TOTAL ALL FUNCTIONS</t>
  </si>
  <si>
    <t>510  Food Service</t>
  </si>
  <si>
    <t>FEDERAL PROJECTS</t>
  </si>
  <si>
    <t>515  Civic Center</t>
  </si>
  <si>
    <t>520  Community School</t>
  </si>
  <si>
    <t>525  Auxiliary Operations</t>
  </si>
  <si>
    <t>530  Gifts and Donations</t>
  </si>
  <si>
    <t>545  School Opening</t>
  </si>
  <si>
    <t>550  Insurance Proceeds</t>
  </si>
  <si>
    <t>555  Textbooks</t>
  </si>
  <si>
    <t>565  Litigation Recovery</t>
  </si>
  <si>
    <t>230 Johnson-O'Malley</t>
  </si>
  <si>
    <t>570  Indirect Costs</t>
  </si>
  <si>
    <t>575  Unemployment Insurance</t>
  </si>
  <si>
    <t>250 AEA -  Adult Education</t>
  </si>
  <si>
    <t>580  Teacherage</t>
  </si>
  <si>
    <t>585  Insurance Refund</t>
  </si>
  <si>
    <t>290 Medicaid Reimbursement</t>
  </si>
  <si>
    <t>590  Grants and Gifts to Teachers</t>
  </si>
  <si>
    <t>requirements pursuant to Code of Federal Regulations (CFR) Title 7, §210.17(a)]</t>
  </si>
  <si>
    <t>STATE PROJECTS</t>
  </si>
  <si>
    <t>400 Vocational Education</t>
  </si>
  <si>
    <t>660  Condemnation</t>
  </si>
  <si>
    <t>410 Early Childhood Block Grant</t>
  </si>
  <si>
    <t>700  Debt Service</t>
  </si>
  <si>
    <t>425 Adult Basic Education</t>
  </si>
  <si>
    <t>I certify that the Budget of</t>
  </si>
  <si>
    <t>at the District Office, telephone</t>
  </si>
  <si>
    <t>during normal business hours.</t>
  </si>
  <si>
    <t>ELL Incremental Costs</t>
  </si>
  <si>
    <t>ELL Compensatory Instruction</t>
  </si>
  <si>
    <t>Other _____________________________________</t>
  </si>
  <si>
    <t>430 Chemical Abuse Prevention Programs</t>
  </si>
  <si>
    <t>435 Academic Contests</t>
  </si>
  <si>
    <t>(This amount will be used to determine district compliance with state matching</t>
  </si>
  <si>
    <t>INTERNAL SERVICE FUNDS 950-989</t>
  </si>
  <si>
    <t>9___ Self-Insurance</t>
  </si>
  <si>
    <t>460 Environmental Special Plate</t>
  </si>
  <si>
    <t>465-499 Other State Projects</t>
  </si>
  <si>
    <t>9___   ______________________</t>
  </si>
  <si>
    <t xml:space="preserve">DISTRICT NAME      </t>
  </si>
  <si>
    <t xml:space="preserve">   Program 100 Subtotal (lines 27-29)</t>
  </si>
  <si>
    <t xml:space="preserve">   Program 200 Subtotal (lines 31-33)</t>
  </si>
  <si>
    <t>CTD NUMBER</t>
  </si>
  <si>
    <t>Maintenance</t>
  </si>
  <si>
    <t>and Operation</t>
  </si>
  <si>
    <t>Capital Outlay</t>
  </si>
  <si>
    <t>(a)</t>
  </si>
  <si>
    <t>(b)</t>
  </si>
  <si>
    <t>(c)</t>
  </si>
  <si>
    <t>(d)</t>
  </si>
  <si>
    <t>*5.</t>
  </si>
  <si>
    <t>Tuition Revenue (A.R.S. §§15-823 and 15-824)</t>
  </si>
  <si>
    <t>Local</t>
  </si>
  <si>
    <t>Dropout Prevention Programs (Laws 1992, Ch. 305, §32 and Laws 2000, Ch. 398, §2)</t>
  </si>
  <si>
    <t>to date plus estimated expenditures through fiscal year-end.)</t>
  </si>
  <si>
    <t>Other Arizona Districts</t>
  </si>
  <si>
    <t>State</t>
  </si>
  <si>
    <t>*6.</t>
  </si>
  <si>
    <t>*7.</t>
  </si>
  <si>
    <t>(e)</t>
  </si>
  <si>
    <t>(f)</t>
  </si>
  <si>
    <t>(g)</t>
  </si>
  <si>
    <t>(h)</t>
  </si>
  <si>
    <t>(i)</t>
  </si>
  <si>
    <t>(1)</t>
  </si>
  <si>
    <t>(2)</t>
  </si>
  <si>
    <t>(3)</t>
  </si>
  <si>
    <t>33.</t>
  </si>
  <si>
    <t>34.</t>
  </si>
  <si>
    <t>35.</t>
  </si>
  <si>
    <t>36.</t>
  </si>
  <si>
    <t>37.</t>
  </si>
  <si>
    <t>38.</t>
  </si>
  <si>
    <t>39.</t>
  </si>
  <si>
    <t>40.</t>
  </si>
  <si>
    <t>Property</t>
  </si>
  <si>
    <t xml:space="preserve">                      SUMMARY OF SCHOOL DISTRICT PROPOSED EXPENDITURE BUDGET</t>
  </si>
  <si>
    <t>President of the Governing Board</t>
  </si>
  <si>
    <t>2.  Tax Rates:</t>
  </si>
  <si>
    <t>Estimated</t>
  </si>
  <si>
    <t>Primary Rate</t>
  </si>
  <si>
    <t>Secondary Rate*</t>
  </si>
  <si>
    <t>Maintenance &amp; Operation</t>
  </si>
  <si>
    <t>MAINTENANCE AND OPERATION EXPENDITURES</t>
  </si>
  <si>
    <t>Salaries and Benefits</t>
  </si>
  <si>
    <t>TOTAL</t>
  </si>
  <si>
    <t>from</t>
  </si>
  <si>
    <t>610 School-Sponsored Cocurric. Activities</t>
  </si>
  <si>
    <t>SUMMARY OF SCHOOL DISTRICT PROPOSED EXPENDITURE BUDGET (Concl'd)</t>
  </si>
  <si>
    <t>(Decrease)</t>
  </si>
  <si>
    <t>TOTAL EXPENDITURES BY FUND</t>
  </si>
  <si>
    <t>Budgeted Expenditures</t>
  </si>
  <si>
    <t>Fund</t>
  </si>
  <si>
    <t>Federal Projects</t>
  </si>
  <si>
    <t>State Projects</t>
  </si>
  <si>
    <t>New School Facilities</t>
  </si>
  <si>
    <t>Adjacent Ways</t>
  </si>
  <si>
    <t>Debt Service</t>
  </si>
  <si>
    <t>Auxiliary Operations</t>
  </si>
  <si>
    <t>Bond Building</t>
  </si>
  <si>
    <t>PROPOSED STAFFING SUMMARY</t>
  </si>
  <si>
    <t>Staff-Pupil</t>
  </si>
  <si>
    <t>Staff Type</t>
  </si>
  <si>
    <t>Ratio</t>
  </si>
  <si>
    <t>Certified --</t>
  </si>
  <si>
    <t xml:space="preserve">      2500 Central Services</t>
  </si>
  <si>
    <t xml:space="preserve">      2600 Operation &amp; Maintenance of Plant</t>
  </si>
  <si>
    <t>Redemption of Principal (3)</t>
  </si>
  <si>
    <t>Interest (4)</t>
  </si>
  <si>
    <t xml:space="preserve">            2300, 2400, 2500, 2900  Administration</t>
  </si>
  <si>
    <t xml:space="preserve">(3)    Includes principal on Capital Equity Fund loans of </t>
  </si>
  <si>
    <t xml:space="preserve">(4)    Includes interest on Capital Equity Fund loans of </t>
  </si>
  <si>
    <t xml:space="preserve">      2300, 2400, 2500 Administration</t>
  </si>
  <si>
    <t xml:space="preserve">      2600 Oper./Maint. of Plant</t>
  </si>
  <si>
    <t xml:space="preserve">            2100, 2200  Students and Instructional Staff</t>
  </si>
  <si>
    <t>Structured English Immersion</t>
  </si>
  <si>
    <t xml:space="preserve">Superintendent, Principals, </t>
  </si>
  <si>
    <t>1  to</t>
  </si>
  <si>
    <t>Teachers</t>
  </si>
  <si>
    <t>Subtotal</t>
  </si>
  <si>
    <t>Classified --</t>
  </si>
  <si>
    <t>Managers, Supervisors, Directors</t>
  </si>
  <si>
    <t>Teachers Aides</t>
  </si>
  <si>
    <t>Special Education --</t>
  </si>
  <si>
    <t>Teacher</t>
  </si>
  <si>
    <t xml:space="preserve">1 to </t>
  </si>
  <si>
    <t>Staff</t>
  </si>
  <si>
    <t xml:space="preserve">Primary Tax Rate:               </t>
  </si>
  <si>
    <t xml:space="preserve">Secondary Tax Rates:           </t>
  </si>
  <si>
    <t>The amount budgeted on page 4, line 10 cannot exceed this amount.</t>
  </si>
  <si>
    <t xml:space="preserve">   Capital Override</t>
  </si>
  <si>
    <t xml:space="preserve">   Class A Bonds</t>
  </si>
  <si>
    <t xml:space="preserve">   Class B Bonds</t>
  </si>
  <si>
    <t>Total Instructional Improvement Fund (lines 1-4)</t>
  </si>
  <si>
    <t>*4.</t>
  </si>
  <si>
    <t>.</t>
  </si>
  <si>
    <t>Unrestricted</t>
  </si>
  <si>
    <t xml:space="preserve">       and Vocational Education Center</t>
  </si>
  <si>
    <t>Unrestricted Capital Outlay</t>
  </si>
  <si>
    <t>All Other</t>
  </si>
  <si>
    <t>TOTAL AGGREGATE SCHOOL DISTRICT BUDGET LIMIT (A.R.S. §15-905.H)</t>
  </si>
  <si>
    <t>E-mail:</t>
  </si>
  <si>
    <t>Certificates of Educational Convenience (A.R.S. §§15-825, 15-825.01, and 15-825.02)</t>
  </si>
  <si>
    <t xml:space="preserve">Registered Warrant  or Tax Anticipation Note Interest Expense Incurred in </t>
  </si>
  <si>
    <t>M&amp;O FUND SPECIAL EDUCATION PROGRAMS BY TYPE</t>
  </si>
  <si>
    <t>Object Codes</t>
  </si>
  <si>
    <t xml:space="preserve">        1000  Instruction</t>
  </si>
  <si>
    <t>Expenditures Budgeted in the M&amp;O Fund for Food Service</t>
  </si>
  <si>
    <t xml:space="preserve">  100 Regular Education</t>
  </si>
  <si>
    <t xml:space="preserve">  530 Dropout Prevention Programs</t>
  </si>
  <si>
    <t>(excluding 6900)</t>
  </si>
  <si>
    <t>595  Advertisement</t>
  </si>
  <si>
    <t xml:space="preserve">   JTED</t>
  </si>
  <si>
    <t xml:space="preserve">   M&amp;O Override</t>
  </si>
  <si>
    <t>(A.R.S. §15-947.C)</t>
  </si>
  <si>
    <t>Prior Year Over Expenditures/Resolutions:</t>
  </si>
  <si>
    <t>Budget Yr.</t>
  </si>
  <si>
    <t>Increase Authorized by County School Superintendent for Accommodation Schools</t>
  </si>
  <si>
    <t>FY</t>
  </si>
  <si>
    <t>Budget FY</t>
  </si>
  <si>
    <t>Increase for Energy and Water Savings Fund Transfer to M&amp;O</t>
  </si>
  <si>
    <t xml:space="preserve">Unexpended Budget Balance in Fund 610 (line A.5 minus A.6) If negative, use zero in </t>
  </si>
  <si>
    <t>9__  OPEB</t>
  </si>
  <si>
    <t>596  Joint Technical Education</t>
  </si>
  <si>
    <t>*9.</t>
  </si>
  <si>
    <t xml:space="preserve">   Special Program Override</t>
  </si>
  <si>
    <t>Total Federal Project Funds (lines 1-17)</t>
  </si>
  <si>
    <t>691  Building Renewal Grant</t>
  </si>
  <si>
    <t xml:space="preserve">This line may be used to recapture lost CSF budget capacity that resulted from underbudgeting in prior fiscal years. </t>
  </si>
  <si>
    <t>Unrestricted Capital Budget Limit (from Budget, page 8, line A.12)</t>
  </si>
  <si>
    <t>( A.R.S. §15-905.F) (to page 8, line A.11)</t>
  </si>
  <si>
    <t>540 Joint Career and Technical Education and Vocational</t>
  </si>
  <si>
    <t>540 Joint Career and Technical Education</t>
  </si>
  <si>
    <t>Superintendent Signature</t>
  </si>
  <si>
    <t>Business Manager Signature</t>
  </si>
  <si>
    <t>510 Desegregation (from Districtwide Desegregation</t>
  </si>
  <si>
    <t xml:space="preserve">    Budget, page 2, line 44)</t>
  </si>
  <si>
    <t xml:space="preserve">Desegregation (from Districtwide Desegregation Budget page 2, line 44 and page 3, line 70) </t>
  </si>
  <si>
    <t>Title VIII-Impact Aid (from Budget, page 6, Federal Projects, line 16)</t>
  </si>
  <si>
    <t>Line 28</t>
  </si>
  <si>
    <t>Line 29</t>
  </si>
  <si>
    <t>M&amp;O for Food Service</t>
  </si>
  <si>
    <t>Footnote 5</t>
  </si>
  <si>
    <t>Line 3(a)</t>
  </si>
  <si>
    <t>Line 3(b)</t>
  </si>
  <si>
    <t>Line 3(c)</t>
  </si>
  <si>
    <t>Line 4</t>
  </si>
  <si>
    <t>Line 5</t>
  </si>
  <si>
    <t xml:space="preserve">The work sheets and instructions for calculating this amount will be issued in future ADE School Finance memorandums. The amount will include excess tuition paid to districts in an adjacent state for pupils who reside in the district but are precluded by distance or a lack of adequate transportation from attending a school in their district or county of residence (out-of-state CEC students). In addition, the amount will include funding for students who are precluded by distance or lack of adequate transportation facilities from attending a school in their district or county of residence or who reside in unorganized territories (CEC-A students). The amount will also include funding for students who are placed in a school district by an agency of this State or by a state or federal court of competent jurisdiction in a corrective institution, a foster home, a child care agency, a licensed institution, or a residential facility (CEC-B students). </t>
  </si>
  <si>
    <t>Line 5(d)</t>
  </si>
  <si>
    <t xml:space="preserve">Maintenance and Operation </t>
  </si>
  <si>
    <t>Special Program</t>
  </si>
  <si>
    <t>Budget Increase for:</t>
  </si>
  <si>
    <t>Line 8(a)</t>
  </si>
  <si>
    <t>Excessive Property Tax Valuation Judgments (A.R.S. §§42-16213 and 42-16214)</t>
  </si>
  <si>
    <t>Line 8(c)</t>
  </si>
  <si>
    <t>Line 8(d)</t>
  </si>
  <si>
    <t>Line 8(e)</t>
  </si>
  <si>
    <t>Line A.9</t>
  </si>
  <si>
    <t>Truth in Taxation Work Sheet</t>
  </si>
  <si>
    <t>Total (lines 1-9) (to Budget, page 6, Other Funds, line 2)</t>
  </si>
  <si>
    <t>Total (lines 11-19) (to Budget, page 6, Other Funds, line 3)</t>
  </si>
  <si>
    <t>Out-of-State Districts and Other Governments</t>
  </si>
  <si>
    <t>State Assistance (A.R.S. §15-976) and Special Ed. Voucher Payments Received (A.R.S. §15-1204)</t>
  </si>
  <si>
    <t>Individuals and Other Private Sources</t>
  </si>
  <si>
    <t>Line 27</t>
  </si>
  <si>
    <t>Line 6</t>
  </si>
  <si>
    <t>Line 10</t>
  </si>
  <si>
    <t>Excess over Truth in Taxation Limit  (1)</t>
  </si>
  <si>
    <t>Lines 13, 26, and 39</t>
  </si>
  <si>
    <t>Cover</t>
  </si>
  <si>
    <t>Summary</t>
  </si>
  <si>
    <t>General</t>
  </si>
  <si>
    <t>Page</t>
  </si>
  <si>
    <t>Reference</t>
  </si>
  <si>
    <t>Line 2(b)</t>
  </si>
  <si>
    <t>Line 9</t>
  </si>
  <si>
    <t>Line A.10</t>
  </si>
  <si>
    <t>(6)</t>
  </si>
  <si>
    <r>
      <t>The total amount budgeted for desegregation expenditures in the M&amp;O, UCO, and Impact Aid Funds cannot exceed the amount budgeted in FY 2009. Districts should</t>
    </r>
    <r>
      <rPr>
        <u val="single"/>
        <sz val="14"/>
        <rFont val="Times New Roman"/>
        <family val="1"/>
      </rPr>
      <t xml:space="preserve"> not</t>
    </r>
    <r>
      <rPr>
        <sz val="14"/>
        <rFont val="Times New Roman"/>
        <family val="1"/>
      </rPr>
      <t xml:space="preserve"> include amounts on these lines for desegregation expenditures that are to be made from the Impact Aid Fund. </t>
    </r>
  </si>
  <si>
    <t>955  Intergovernmental Agreements</t>
  </si>
  <si>
    <t>FTE Certified Employees</t>
  </si>
  <si>
    <t>Joint Career and Technical Education and Vocational Education Center (A.R.S. §15-910.01)</t>
  </si>
  <si>
    <t>adoption, use zero.)</t>
  </si>
  <si>
    <t>Total UCBL Adjustment for prior years as notified by ADE on BUDG75 report (For budget</t>
  </si>
  <si>
    <t>(not to exceed Work Sheet S, line II.B.5)  (A.R.S. §15-974.B)</t>
  </si>
  <si>
    <t>Line 3(a) Continued</t>
  </si>
  <si>
    <t xml:space="preserve">In all funds where ELL costs are incurred, districts should use program code 260—ELL Incremental Costs to record incremental costs necessary to implement an approved SEI model, program code 265—ELL Compensatory Instruction to record the costs of providing compensatory instruction to ELL students and students reclassified as English proficient in the last 2 years, and program code 435—Pupil Transportation—ELL Compensatory Instruction for transportation costs approved as part of compensatory instruction. However, when desegregation monies in the M&amp;O Fund are used to pay for incremental or compensatory instruction costs, districts should use program codes 514—ELL Incremental Costs and 515—ELL Compensatory Instruction. </t>
  </si>
  <si>
    <t>ELL General</t>
  </si>
  <si>
    <t>ELL General Continued</t>
  </si>
  <si>
    <t>General Continued</t>
  </si>
  <si>
    <t>In accordance with A.R.S. §15-905.01, a district must hold a truth in taxation hearing on or before the adoption of the expenditure budget if the district budgets an amount that is higher than the truth in taxation base limit, levies any amount for adjacent ways pursuant to A.R.S. §15‑995, or levies any amount for liabilities in excess of the budget pursuant to A.R.S. §15‑907.</t>
  </si>
  <si>
    <t>Districts may have ELL costs, in funds other than Structured English Immersion Fund 071 and Compensatory Instruction Fund 072, that are beyond the incremental costs necessary to implement an approved SEI model and that are not considered compensatory instruction by statute. Districts should code these costs to program code 100—Regular Education. Districts may choose to separately track these costs in their accounting records using a more detailed program code under 100, such as program code 160.</t>
  </si>
  <si>
    <t>Line 8(b)</t>
  </si>
  <si>
    <t>Line A.6</t>
  </si>
  <si>
    <t>Line A.8</t>
  </si>
  <si>
    <t>Line B.6</t>
  </si>
  <si>
    <t>Revision Instructions</t>
  </si>
  <si>
    <t>Yes</t>
  </si>
  <si>
    <t>Budget Revision</t>
  </si>
  <si>
    <t>Budget Revision Continued</t>
  </si>
  <si>
    <t>http://www.azed.gov/finance/certificates-of-educational-convenience/</t>
  </si>
  <si>
    <t>374 E-Rate</t>
  </si>
  <si>
    <t>378 Impact Aid</t>
  </si>
  <si>
    <t>Lines 2(a)-(b)</t>
  </si>
  <si>
    <t>Desegregation Expenditures (A.R.S. §15-910.G-K)</t>
  </si>
  <si>
    <t>M&amp;O Fund - Nonfederal</t>
  </si>
  <si>
    <t>All Funds - Federal</t>
  </si>
  <si>
    <t xml:space="preserve">Line 7 </t>
  </si>
  <si>
    <t xml:space="preserve">Lines 3(a)-(c) </t>
  </si>
  <si>
    <r>
      <t xml:space="preserve">For the first 3 years that a joint career and technical education and vocational education center is operating and serving students, all or a portion of the center’s expenditures may be budgeted outside the RCL. A.R.S. §15-910.01 requires the State Board of Education approval prior to including an amount here. The district </t>
    </r>
    <r>
      <rPr>
        <u val="single"/>
        <sz val="14"/>
        <rFont val="Times New Roman"/>
        <family val="1"/>
      </rPr>
      <t>must</t>
    </r>
    <r>
      <rPr>
        <sz val="14"/>
        <rFont val="Times New Roman"/>
        <family val="1"/>
      </rPr>
      <t xml:space="preserve"> notify the State Board of Education before adopting a Budget for the first year of operation, and notify ADE School Finance if this line will be used in calculating the GBL.  Currently, no districts have been authorized by the SBE. </t>
    </r>
    <r>
      <rPr>
        <b/>
        <sz val="14"/>
        <rFont val="Times New Roman"/>
        <family val="1"/>
      </rPr>
      <t>This provision does not apply to joint technical education districts established pursuant to A.R.S. §15‑392.</t>
    </r>
  </si>
  <si>
    <t>Line B.2</t>
  </si>
  <si>
    <t>Line A.2</t>
  </si>
  <si>
    <t>Lines A.3</t>
  </si>
  <si>
    <t>Subject to adjustment prior to May 15 as allowed by A.R.S. Revisions are described in the instructions for these lines, as needed.</t>
  </si>
  <si>
    <t>Some districts have lost CSF budget capacity from budgeting less than the CSFBL in prior years. This line may be used to recapture that budget capacity. Districts that need assistance with the adjustment should contact ADE’s budget team.</t>
  </si>
  <si>
    <t>550 K-3 Reading Program</t>
  </si>
  <si>
    <t>MAINTENANCE AND OPERATION (M&amp;O) FUND</t>
  </si>
  <si>
    <t xml:space="preserve">   Other Programs Subtotal (lines 9-11)</t>
  </si>
  <si>
    <t xml:space="preserve">   Program 200 Subtotal (lines 18-20)</t>
  </si>
  <si>
    <t xml:space="preserve">   Other Programs Subtotal (lines 22-24)</t>
  </si>
  <si>
    <t>Unrestricted Capital Outlay Fund 610 (6)</t>
  </si>
  <si>
    <t>300-399 Other Federal Projects (Besides E-Rate &amp; Impact Aid)</t>
  </si>
  <si>
    <r>
      <t>Program (A.R.S. §§15-761</t>
    </r>
    <r>
      <rPr>
        <b/>
        <sz val="8"/>
        <rFont val="Times New Roman"/>
        <family val="1"/>
      </rPr>
      <t xml:space="preserve"> and 15-903)</t>
    </r>
  </si>
  <si>
    <t>District Tax Rates</t>
  </si>
  <si>
    <t>Federal Projects, Line 16</t>
  </si>
  <si>
    <t>Other Funds, Lines 2 and 3</t>
  </si>
  <si>
    <t>Internal Service Funds, 
Line 2</t>
  </si>
  <si>
    <t>Include all expenditures for Intergovernmental Agreements (IGAs) in this line. If the district uses funds other than 955 to separately account for multiple IGAs, all IGA fund expenditures should be totaled and reported on this line.</t>
  </si>
  <si>
    <t xml:space="preserve">             TOTAL</t>
  </si>
  <si>
    <r>
      <t>Include</t>
    </r>
    <r>
      <rPr>
        <b/>
        <sz val="14"/>
        <rFont val="Times New Roman"/>
        <family val="1"/>
      </rPr>
      <t xml:space="preserve"> all</t>
    </r>
    <r>
      <rPr>
        <sz val="14"/>
        <rFont val="Times New Roman"/>
        <family val="1"/>
      </rPr>
      <t xml:space="preserve"> certified employees filling certified positions at the district.</t>
    </r>
  </si>
  <si>
    <t>Audit Services</t>
  </si>
  <si>
    <t>Amount budgeted in M&amp;O for Food Service (Fund 001, Function 3100)</t>
  </si>
  <si>
    <t>Expenditures Budgeted for Audit Services</t>
  </si>
  <si>
    <t>FTE</t>
  </si>
  <si>
    <t>650  Gifts and Donations-Capital</t>
  </si>
  <si>
    <t>OTHER FUNDS—REQUIRED CAPITAL EXPENDITURE DETAIL [(A.R.S. §15-904.(B)]</t>
  </si>
  <si>
    <t>BOND BUILDING</t>
  </si>
  <si>
    <t>NEW SCHOOL FACILITIES</t>
  </si>
  <si>
    <t>Fund 630</t>
  </si>
  <si>
    <t>Fund 695</t>
  </si>
  <si>
    <t>Total Fund Expenditures</t>
  </si>
  <si>
    <t>Select Object Codes Detail (1)</t>
  </si>
  <si>
    <t xml:space="preserve">        6150 Classified Salaries</t>
  </si>
  <si>
    <t xml:space="preserve">        6200 Employee Benefits</t>
  </si>
  <si>
    <t xml:space="preserve">        6450 Construction Services</t>
  </si>
  <si>
    <t xml:space="preserve">        6710 Land and Improvements</t>
  </si>
  <si>
    <t xml:space="preserve">        6720 Buildings and Improvements</t>
  </si>
  <si>
    <t>Total amounts reported on lines 2-11 above for:</t>
  </si>
  <si>
    <t xml:space="preserve">       Renovation</t>
  </si>
  <si>
    <t xml:space="preserve">       New Construction</t>
  </si>
  <si>
    <t xml:space="preserve">       Other</t>
  </si>
  <si>
    <t>Deduction for discontinued programs</t>
  </si>
  <si>
    <t>Desegregation, Dropout Prevention, and Joint Career and Technical Education and Vocational Education Center</t>
  </si>
  <si>
    <t>a.</t>
  </si>
  <si>
    <t>b.</t>
  </si>
  <si>
    <t>c.</t>
  </si>
  <si>
    <t>Expenditures over/(under) original budget (line 8.a minus line 8.b)</t>
  </si>
  <si>
    <t>Small School Adjustment</t>
  </si>
  <si>
    <t>Amount over/(under) budget for Small School Adjustment (line 9.a minus line 9.b)</t>
  </si>
  <si>
    <t>Total (add lines 4 through 7 and line 8.c. and line 9.c.)</t>
  </si>
  <si>
    <t>(Line 10 minus line 3.  If negative, enter zero.)</t>
  </si>
  <si>
    <t>Sum of lines 11, 12, and 13</t>
  </si>
  <si>
    <t>(Line 3 divided by line B.1) x $10,000</t>
  </si>
  <si>
    <t>Sum of lines 3, 11, 12, and 13</t>
  </si>
  <si>
    <t>If an amount on line 11, 12, or 13 is greater than zero, the district must publish a Truth in Taxation Hearing Notice as described in A.R.S. §15-905.01.</t>
  </si>
  <si>
    <t>Transportation Revenues for Attendance of Nonresident Pupils (A.R.S. §§15-923 and 15-947)</t>
  </si>
  <si>
    <t>Expenditures, if any, budgeted in the Unrestricted Capital Outlay Fund on lines 2-9 for the K-3 Reading Program as described in A.R.S. §15-211.</t>
  </si>
  <si>
    <t>6831, 6832</t>
  </si>
  <si>
    <t>6841, 6842, 6850</t>
  </si>
  <si>
    <t>Line 2</t>
  </si>
  <si>
    <t>Line 8.a</t>
  </si>
  <si>
    <t>The truth in taxation work sheet and notice do not need to be completed for budget revisions. The impact of any revisions should be included in the following year’s truth in taxation calculation.</t>
  </si>
  <si>
    <t>(1) Lines 2-11 may not include all budgeted expenditures of the fund. Total budgeted expenditures for each fund should be included on Line 1.</t>
  </si>
  <si>
    <t>Lesser of line A.3 or the sum of line A.4 and any positive adjustment on line A.2</t>
  </si>
  <si>
    <r>
      <t xml:space="preserve">A.R.S. §15-756.02 requires each school district to implement one or more Structured English Immersion (SEI) models, as previously approved  by the ELL Task Force, to provide instruction to ELL students. A.R.S. §15-756.01 defined incremental costs as the costs that are associated with an SEI program pursuant to A.R.S. §15-752 or a program pursuant to A.R.S. §15-753 that are in addition to the normal costs of conducting programs for English proficient students. Further, incremental costs do not include costs that replace the same types of service provided to English proficient students or compensatory instruction. </t>
    </r>
    <r>
      <rPr>
        <sz val="14"/>
        <rFont val="Times New Roman"/>
        <family val="1"/>
      </rPr>
      <t xml:space="preserve">
A.R.S. §15-756.11 defined compensatory instruction as programs in addition to normal classroom instruction that may include individual or small group instruction, extended day classes, summer school, or intersession school. Compensatory instruction programs must be limited to improving the English proficiency of current ELL students and students who were ELL students and who have been reclassified as English proficient within the previous 2 years. </t>
    </r>
  </si>
  <si>
    <t xml:space="preserve">Interest on </t>
  </si>
  <si>
    <t>Short-Term Debt</t>
  </si>
  <si>
    <t>Fund 610</t>
  </si>
  <si>
    <t>UNRESTRICTED CAPITAL OUTLAY</t>
  </si>
  <si>
    <t>DAA Reduction for State Budget Adjustments (from Work Sheet H, lines VII.E.2 and VII.F.2)</t>
  </si>
  <si>
    <t xml:space="preserve">Instructions  </t>
  </si>
  <si>
    <t>UNRESTRICTED CAPITAL OUTLAY (UCO) FUND</t>
  </si>
  <si>
    <t>compliance with state matching requirements pursuant to CFR Title 7, §210.17(a)]</t>
  </si>
  <si>
    <t>Expenditures Budgeted in Unrestricted Capital Outlay (UCO) Fund for Food Service</t>
  </si>
  <si>
    <t xml:space="preserve">        6831, 6832 Redemption of Principal</t>
  </si>
  <si>
    <t xml:space="preserve">        6841, 6842, 6850 Interest</t>
  </si>
  <si>
    <t>Subtotal (line A.1 + A.2)</t>
  </si>
  <si>
    <t>Total Aggregate School District Budget Limit (line A.3 + A.4 - A.5)</t>
  </si>
  <si>
    <t xml:space="preserve"> (This line cannot exceed line A.3.)</t>
  </si>
  <si>
    <t>Total Budget Subject to Budget Limits (line B.1 + B.2)</t>
  </si>
  <si>
    <t>FUND 610</t>
  </si>
  <si>
    <t>Noncompliance Adjustment</t>
  </si>
  <si>
    <t>Line 8(f)</t>
  </si>
  <si>
    <t>Line 8(i)</t>
  </si>
  <si>
    <t>Line B.4</t>
  </si>
  <si>
    <t>Line B.5</t>
  </si>
  <si>
    <t xml:space="preserve">The Classroom Site Funds (CSF) are budget-controlled funds that must be used to supplement, rather than supplant, existing monies and in accordance with Laws 2000, 5th S.S., Ch. 1, §62, must not be used for administrative purposes. See USFR Memorandum No. 194 for additional guidance on the use of CSF monies.
 </t>
  </si>
  <si>
    <t>District Tax Rates for Prior and Budget Fiscal Years (A.R.S. §15-903.D.4)</t>
  </si>
  <si>
    <t>Prior</t>
  </si>
  <si>
    <t>Prior FY</t>
  </si>
  <si>
    <t>Prior Yr.</t>
  </si>
  <si>
    <t xml:space="preserve"> Prior FY</t>
  </si>
  <si>
    <t>Line 1</t>
  </si>
  <si>
    <t>Include amounts budgeted for registered warrant expense in the Interest on Short-Term Debt column. Districts should budget up to the Classroom Site Fund Budget Limit (CSFBL) as calculated on page 8, line B.7.</t>
  </si>
  <si>
    <t xml:space="preserve">Use this line to reduce the TNT Base limit (line 1) for programs that the district is no longer eligible to budget for. Districts that are no longer eligible to budget for any of the programs on lines 4 through 7, or if the expenditures for those programs will be made only in the Impact Aid Fund, should have a TNT base limit of zero after deducting amounts for discontinued programs on this line.
</t>
  </si>
  <si>
    <t xml:space="preserve">   1000 Instruction</t>
  </si>
  <si>
    <t xml:space="preserve">     1000 Instruction</t>
  </si>
  <si>
    <t xml:space="preserve">Enter the amount budgeted in UCO for Food Service [Amount will be used to determine district </t>
  </si>
  <si>
    <t>Other ________________________________</t>
  </si>
  <si>
    <t>From page 6, Other Funds</t>
  </si>
  <si>
    <t>Total</t>
  </si>
  <si>
    <t>The table below calculates the total amount shown on the Total Expenditures by Fund, Other line.  This table does not need to be printed as an official part of the budget forms.</t>
  </si>
  <si>
    <t>Decrease for Transfer from M&amp;O to Energy and Water Savings Fund</t>
  </si>
  <si>
    <t>Other:</t>
  </si>
  <si>
    <t xml:space="preserve">        Total (lines 2-11)</t>
  </si>
  <si>
    <t>REVENUES AND PROPERTY TAXATION</t>
  </si>
  <si>
    <t>700, 800, 900 Other Programs</t>
  </si>
  <si>
    <t>630 Other Instructional Programs</t>
  </si>
  <si>
    <t xml:space="preserve">   Regular Education Subsection Subtotal (lines 1-13)</t>
  </si>
  <si>
    <t xml:space="preserve">   Subtotal (lines 15-23)  </t>
  </si>
  <si>
    <t>total of line 24, page 1)</t>
  </si>
  <si>
    <t>Line 8(g)</t>
  </si>
  <si>
    <t>Line 8(h)</t>
  </si>
  <si>
    <t>Unexpended Budget Balance (line B.1 minus B.2)</t>
  </si>
  <si>
    <t xml:space="preserve">       Total (lines 13-15, must equal line 12)</t>
  </si>
  <si>
    <t>Districts that receive Impact Aid monies should deposit them in Fund 378—Impact Aid. Monies in the fund are federal monies not subject to legislative appropriation. All districts that receive Impact Aid revenue should complete Work Sheet L to calculate the amount available to be spent in the Impact Aid Fund.</t>
  </si>
  <si>
    <r>
      <rPr>
        <b/>
        <sz val="14"/>
        <rFont val="Times New Roman"/>
        <family val="1"/>
      </rPr>
      <t>Budget Revision</t>
    </r>
    <r>
      <rPr>
        <sz val="14"/>
        <rFont val="Times New Roman"/>
        <family val="1"/>
      </rPr>
      <t xml:space="preserve">
Districts participating in the National School Lunch Program that have not already budgeted for the state matching requirements, should include any amounts to be expended for their food service program in the M&amp;O Fund on this line before May 15. ADE’s Health &amp; Nutrition Services will verify that amounts budgeted were spent when the annual financial reports are submitted. Any questions related to the state matching requirements should be directed to ADE’s Health &amp; Nutrition Services at (602) 542-8700.</t>
    </r>
  </si>
  <si>
    <r>
      <t xml:space="preserve">For budget adoption, districts may apportion amounts on this page between the M&amp;O and UCO Funds. After original adoption, and prior to May 15 of the budget year, amounts may be reapportioned based on the budgetary needs of the district, unless otherwise indicated on Budget, page 7, or in the following instructions.
Record in column A on this page all amounts budgeted for use in the M&amp;O Fund (to be included in the GBL). Record in column B all amounts budgeted for use in the UCO Fund (to be carried over to the calculations on Budget, page 8).
</t>
    </r>
    <r>
      <rPr>
        <b/>
        <sz val="14"/>
        <rFont val="Times New Roman"/>
        <family val="1"/>
      </rPr>
      <t xml:space="preserve">Budget Revision </t>
    </r>
    <r>
      <rPr>
        <sz val="14"/>
        <rFont val="Times New Roman"/>
        <family val="1"/>
      </rPr>
      <t xml:space="preserve">
When actual amounts are required, use the actual amount to date plus the estimated amount for the remainder of the fiscal year. After the May 15 budget revision, amounts </t>
    </r>
    <r>
      <rPr>
        <b/>
        <sz val="14"/>
        <rFont val="Times New Roman"/>
        <family val="1"/>
      </rPr>
      <t>cannot</t>
    </r>
    <r>
      <rPr>
        <sz val="14"/>
        <rFont val="Times New Roman"/>
        <family val="1"/>
      </rPr>
      <t xml:space="preserve"> be reallocated between M&amp;O and UCO. </t>
    </r>
  </si>
  <si>
    <r>
      <t xml:space="preserve">The district should forward a copy of the award letter from the SFB stating the specific amount being deposited in Fund 610, to ADE, School Finance in order to receive budget capacity for this item.
</t>
    </r>
    <r>
      <rPr>
        <b/>
        <sz val="14"/>
        <rFont val="Times New Roman"/>
        <family val="1"/>
      </rPr>
      <t>Budget Revision</t>
    </r>
    <r>
      <rPr>
        <sz val="14"/>
        <rFont val="Times New Roman"/>
        <family val="1"/>
      </rPr>
      <t xml:space="preserve">
Enter the amount of money, if any, received or expected to be received, by fiscal year end.</t>
    </r>
  </si>
  <si>
    <r>
      <t xml:space="preserve">Instructions for budget revision requirements have been incorporated into this document for each applicable line item. All lines that include revision instructions have a "Yes" in the Revision Instructions column to the right. To see only the revision instructions apply the filter so that only rows marked "Yes" will show. 
Prior to May 15 of the budget year, districts </t>
    </r>
    <r>
      <rPr>
        <u val="single"/>
        <sz val="14"/>
        <rFont val="Times New Roman"/>
        <family val="1"/>
      </rPr>
      <t>must</t>
    </r>
    <r>
      <rPr>
        <sz val="14"/>
        <rFont val="Times New Roman"/>
        <family val="1"/>
      </rPr>
      <t xml:space="preserve"> make all of the revisions described in these instructions that would result in a decrease in budget limits and districts </t>
    </r>
    <r>
      <rPr>
        <u val="single"/>
        <sz val="14"/>
        <rFont val="Times New Roman"/>
        <family val="1"/>
      </rPr>
      <t>may</t>
    </r>
    <r>
      <rPr>
        <sz val="14"/>
        <rFont val="Times New Roman"/>
        <family val="1"/>
      </rPr>
      <t xml:space="preserve"> make any of the described revisions that result in an increase in budget limits. Total expenditures in the Maintenance and Operation (M&amp;O), Unrestricted Capital Outlay (UCO), and Classroom Site Funds (CSF) must not exceed the adjusted General Budget Limit (GBL), Unrestricted Capital Budget Limit (UCBL), and Classroom Site Fund Budget Limit (CSFBL), respectively, as reported on pages 7 and 8 of the latest revised budget. Therefore, if the net change to any of these budget limits is a </t>
    </r>
    <r>
      <rPr>
        <u val="single"/>
        <sz val="14"/>
        <rFont val="Times New Roman"/>
        <family val="1"/>
      </rPr>
      <t>decrease</t>
    </r>
    <r>
      <rPr>
        <sz val="14"/>
        <rFont val="Times New Roman"/>
        <family val="1"/>
      </rPr>
      <t xml:space="preserve">, the district </t>
    </r>
    <r>
      <rPr>
        <u val="single"/>
        <sz val="14"/>
        <rFont val="Times New Roman"/>
        <family val="1"/>
      </rPr>
      <t>must</t>
    </r>
    <r>
      <rPr>
        <sz val="14"/>
        <rFont val="Times New Roman"/>
        <family val="1"/>
      </rPr>
      <t xml:space="preserve"> reduce budgeted expenditures in the related fund, to ensure that the budgeted amounts are within the prescribed limit. If the net change to any of these budget limits is an </t>
    </r>
    <r>
      <rPr>
        <u val="single"/>
        <sz val="14"/>
        <rFont val="Times New Roman"/>
        <family val="1"/>
      </rPr>
      <t>increase</t>
    </r>
    <r>
      <rPr>
        <sz val="14"/>
        <rFont val="Times New Roman"/>
        <family val="1"/>
      </rPr>
      <t xml:space="preserve">, the district </t>
    </r>
    <r>
      <rPr>
        <u val="single"/>
        <sz val="14"/>
        <rFont val="Times New Roman"/>
        <family val="1"/>
      </rPr>
      <t>may</t>
    </r>
    <r>
      <rPr>
        <sz val="14"/>
        <rFont val="Times New Roman"/>
        <family val="1"/>
      </rPr>
      <t xml:space="preserve"> choose to revise budgeted expenditures in the related fund.</t>
    </r>
  </si>
  <si>
    <r>
      <t xml:space="preserve">Districts charging tuition for full-day kindergarten and summer school should not include an increase to the GBL. These tuition revenues should be recorded in the Community School Fund (520).
</t>
    </r>
    <r>
      <rPr>
        <b/>
        <sz val="14"/>
        <rFont val="Times New Roman"/>
        <family val="1"/>
      </rPr>
      <t>Budget Revision</t>
    </r>
    <r>
      <rPr>
        <sz val="14"/>
        <rFont val="Times New Roman"/>
        <family val="1"/>
      </rPr>
      <t xml:space="preserve">
Districts should compare actual tuition revenues received or expected to be received by June 30 to the amounts reported on lines 5(a) through (d) to determine whether the amounts must be decreased or may be increased. 
</t>
    </r>
    <r>
      <rPr>
        <b/>
        <sz val="14"/>
        <rFont val="Times New Roman"/>
        <family val="1"/>
      </rPr>
      <t>The debt service portion of tuition revenues should not be included on lines 5(a) through (d); as those revenues should be reported in the Debt Service Fund (700).</t>
    </r>
    <r>
      <rPr>
        <sz val="14"/>
        <rFont val="Times New Roman"/>
        <family val="1"/>
      </rPr>
      <t xml:space="preserve"> 
</t>
    </r>
  </si>
  <si>
    <t>http://www.azed.gov/SchoolFinanceReports/Reports</t>
  </si>
  <si>
    <t>Line A.10 continued</t>
  </si>
  <si>
    <t>Federal Projects (from Budget, page 6, Federal Projects, line 18)</t>
  </si>
  <si>
    <t>Page 1</t>
  </si>
  <si>
    <t>Vocational and Technical Education</t>
  </si>
  <si>
    <t>2016 ADM</t>
  </si>
  <si>
    <t>Superintendent Name (Typed Name)</t>
  </si>
  <si>
    <t>Business Manager Name (Typed Name)</t>
  </si>
  <si>
    <t>ADJACENT WAYS</t>
  </si>
  <si>
    <r>
      <t>Other Funds</t>
    </r>
    <r>
      <rPr>
        <sz val="14"/>
        <rFont val="Franklin Gothic Medium"/>
        <family val="2"/>
      </rPr>
      <t xml:space="preserve">—
</t>
    </r>
    <r>
      <rPr>
        <sz val="14"/>
        <rFont val="Times New Roman"/>
        <family val="1"/>
      </rPr>
      <t xml:space="preserve">Required Capital Expenditure Detail  for Funds 610, 630, 695, &amp; 620
</t>
    </r>
  </si>
  <si>
    <t>500  School Plant  (2)</t>
  </si>
  <si>
    <t>Other Funds, Line 4</t>
  </si>
  <si>
    <t>ADM/Transportation Audit Adjustment</t>
  </si>
  <si>
    <t>School Plant Fund</t>
  </si>
  <si>
    <t>6300, 6400, 6500</t>
  </si>
  <si>
    <r>
      <t xml:space="preserve">Record the amount of reimbursements for unorganized territory mileage received from performance of a transportation services contract.
</t>
    </r>
    <r>
      <rPr>
        <b/>
        <sz val="14"/>
        <rFont val="Times New Roman"/>
        <family val="1"/>
      </rPr>
      <t>Budget Revision</t>
    </r>
    <r>
      <rPr>
        <sz val="14"/>
        <rFont val="Times New Roman"/>
        <family val="1"/>
      </rPr>
      <t xml:space="preserve">
Districts should compare actual reimbursements for transportation services received or expected to be received by June 30 to the amount reported on this line. The amount on this line cannot exceed the actual amount received for providing these transportation services.</t>
    </r>
  </si>
  <si>
    <t>6810, 6890</t>
  </si>
  <si>
    <t>OTHER FUNDS</t>
  </si>
  <si>
    <r>
      <t xml:space="preserve">A district that has entered into an intergovernmental agreement to establish a jointly owned and operated career and technical education and vocational education center, in accordance with A.R.S. §15-789, should budget for the center’s expenditures on this line. A.R.S. §15‑910.01 </t>
    </r>
    <r>
      <rPr>
        <b/>
        <sz val="14"/>
        <rFont val="Times New Roman"/>
        <family val="1"/>
      </rPr>
      <t xml:space="preserve">This provision does not apply to joint technical education districts established pursuant to A.R.S. §15-392. 
</t>
    </r>
    <r>
      <rPr>
        <sz val="14"/>
        <rFont val="Times New Roman"/>
        <family val="1"/>
      </rPr>
      <t xml:space="preserve">A.R.S. §15-910.01 requires the State Board of Education (SBE) approval prior to including an amount here. </t>
    </r>
    <r>
      <rPr>
        <b/>
        <sz val="14"/>
        <rFont val="Times New Roman"/>
        <family val="1"/>
      </rPr>
      <t>Currently, no districts have been authorized by the SBE.</t>
    </r>
  </si>
  <si>
    <r>
      <t xml:space="preserve">Enter the budgeted expenditures for nonfederal program and compliance audits (required object code 6350) to be paid from the M&amp;O Fund only, and the budgeted expenditures for federal single audits (optional object code 6330) from </t>
    </r>
    <r>
      <rPr>
        <u val="single"/>
        <sz val="14"/>
        <rFont val="Times New Roman"/>
        <family val="1"/>
      </rPr>
      <t>all</t>
    </r>
    <r>
      <rPr>
        <sz val="14"/>
        <rFont val="Times New Roman"/>
        <family val="1"/>
      </rPr>
      <t xml:space="preserve"> funds.</t>
    </r>
  </si>
  <si>
    <t>Line 40</t>
  </si>
  <si>
    <r>
      <rPr>
        <b/>
        <sz val="14"/>
        <rFont val="Times New Roman"/>
        <family val="1"/>
      </rPr>
      <t>Budget Revision</t>
    </r>
    <r>
      <rPr>
        <sz val="14"/>
        <rFont val="Times New Roman"/>
        <family val="1"/>
      </rPr>
      <t xml:space="preserve">
If the RCL originally used to calculate an override was reduced after budget adoption, the district must recalculate the maximum M&amp;O, UCO, and Special Program override amounts in accordance with the instructions above. Arizona Attorney General Opinion I90‑020 prohibits districts from recalculating overrides based on an increase in the RCL after secondary taxes have been levied for the applicable year. The amounts reported on lines 3(a) through (c) may not exceed the lesser of the original or recalculated maximum override amounts.</t>
    </r>
  </si>
  <si>
    <r>
      <t xml:space="preserve">Do </t>
    </r>
    <r>
      <rPr>
        <u val="single"/>
        <sz val="10"/>
        <rFont val="Times New Roman"/>
        <family val="1"/>
      </rPr>
      <t>not</t>
    </r>
    <r>
      <rPr>
        <sz val="10"/>
        <rFont val="Times New Roman"/>
        <family val="1"/>
      </rPr>
      <t xml:space="preserve"> report budgeted amounts for the Performance Pay Component of the Classroom Site Fund on this line.</t>
    </r>
  </si>
  <si>
    <t>Budget Balance Carryforward (from Work Sheet M, line 9) (A.R.S. §15-943.01)</t>
  </si>
  <si>
    <t>Sheet M, line 6.f) (A.R.S. §15-920)</t>
  </si>
  <si>
    <t>JTED Reduction [See Work Sheet J, footnote (1) for estimate]</t>
  </si>
  <si>
    <t>The amounts budgeted on page 3, lines 13, 26, 39, and 40 cannot exceed the respective amounts on this line.</t>
  </si>
  <si>
    <t>2017 ADM</t>
  </si>
  <si>
    <t>1.  Average Daily Membership:</t>
  </si>
  <si>
    <t xml:space="preserve">    *  Secondary rate applies only for voter-approved overrides and 
        bonded indebtedness per A.R.S. §15-101(22) and Joint Technical 
        Education Districts per A.R.S. §15-393(F).</t>
  </si>
  <si>
    <t>General Budget Limit (from Budget, page 7, line 11)</t>
  </si>
  <si>
    <r>
      <t>(A.R.S. §</t>
    </r>
    <r>
      <rPr>
        <sz val="10"/>
        <rFont val="Calibri"/>
        <family val="2"/>
      </rPr>
      <t>§</t>
    </r>
    <r>
      <rPr>
        <sz val="10"/>
        <rFont val="Times New Roman"/>
        <family val="1"/>
      </rPr>
      <t xml:space="preserve"> 15-761 and 15-903)</t>
    </r>
  </si>
  <si>
    <t xml:space="preserve">673X Furniture and Equipment </t>
  </si>
  <si>
    <t>673X Vehicles</t>
  </si>
  <si>
    <t>673X Tech Hardware &amp; Software</t>
  </si>
  <si>
    <t>Total All Disability Classifications</t>
  </si>
  <si>
    <t xml:space="preserve">    (Cannot exceed page 7, line 11)</t>
  </si>
  <si>
    <t>Amount to be Used for Capital Expenditures (from page 7, line 12)</t>
  </si>
  <si>
    <t xml:space="preserve">        673X Furniture and Equipment</t>
  </si>
  <si>
    <t xml:space="preserve">        673X Vehicles </t>
  </si>
  <si>
    <t xml:space="preserve">        673X Technology Hardware &amp; Software</t>
  </si>
  <si>
    <t xml:space="preserve">All expenditures budgeted in the M&amp;O Fund for special education programs should be included regardless of the revenue source (e.g., state equalization assistance and property taxes). Districts should retain supporting documentation for the allocation of expenditures budgeted for individual special education programs. Supporting documentation should include a list of the programs, the number of teachers and students by program, and all computation work sheets. However, districts should budget total expenditures in Program 200—Special Education for disability classifications defined in A.R.S. §15-761 on line 1, Total All Disability Classifications.
</t>
  </si>
  <si>
    <t>Line 3</t>
  </si>
  <si>
    <t>FY 2018</t>
  </si>
  <si>
    <t>Estimated Revenues by Source for Fiscal Year 2018 (excluding property taxes)</t>
  </si>
  <si>
    <t>We hereby certify that the Budget for the Fiscal Year 2018 was</t>
  </si>
  <si>
    <t>Est. Budget FY 2018</t>
  </si>
  <si>
    <t xml:space="preserve">FY 2018 Performance Pay (A.R.S. §15-920) </t>
  </si>
  <si>
    <t>FY 2018 General Budget Limit (column A, lines 1 through 10)</t>
  </si>
  <si>
    <t xml:space="preserve">CALCULATION OF FY 2018 GENERAL BUDGET LIMIT </t>
  </si>
  <si>
    <t xml:space="preserve">FY 2018 Revenue Control Limit (RCL) </t>
  </si>
  <si>
    <t>FY 2018 District Additional Assistance (DAA)  (from Work Sheet H, lines VII.E.1 and VII.F.1)</t>
  </si>
  <si>
    <t>Adjustment to UCBL for FY 2018 (A.R.S. §15-905.M) Include year(s) and descriptions, as applicable.</t>
  </si>
  <si>
    <t>FY 2018 Unrestricted Capital Budget Limit (lines A.7 through A.11) (1)</t>
  </si>
  <si>
    <t>Adjustments to FY 2018 Classroom Site Fund Budget Limit (2)</t>
  </si>
  <si>
    <t>FY 2018 Classroom Site Fund Budget Limit (Sum of lines B.3 through B.6) (3)</t>
  </si>
  <si>
    <t>County for fiscal year 2018 was officially</t>
  </si>
  <si>
    <t>FY 2018 Truth in Taxation Work Sheet (A.R.S. §15-905.01)</t>
  </si>
  <si>
    <t>Adjusted FY 2018 TNT Base Limit</t>
  </si>
  <si>
    <t>FY 2018 Budgeted Expenditures</t>
  </si>
  <si>
    <t>Function code 2300, object code 6820-Judgments Against the District should be used to budget for excessive property tax valuation judgments to be paid in FY 2018. This amount should also be included on page 7, line 8(h).</t>
  </si>
  <si>
    <t>A district authorized by ADE to continue participation in Dropout Prevention Programs for FY 2018 pursuant to Laws 1992, Ch. 305, §32 and Laws 2000, Ch. 398, §2, must budget the additional amount on this line.</t>
  </si>
  <si>
    <t xml:space="preserve">The total amount budgeted on line 40 cannot exceed the CSFBL on page 8, Line B.7. The total amount budgeted in FY 2018 will affect the next year’s CSFBL. See A.R.S. §15-978 and calculation on page 8.
</t>
  </si>
  <si>
    <t>The amount budgeted in the UCO Fund cannot exceed the Unrestricted Capital Budget Limit (UCBL) on page 8, line A.12. The amount budgeted in Fund 610 in FY 2018 will affect the next year’s UCBL. See A.R.S. §15-947(D) and calculation on page 8.</t>
  </si>
  <si>
    <t>A district authorized by ADE to continue participation in the Dropout Prevention Programs, in accordance with Laws 1992, Ch. 305, §32 and Laws 2000, Ch. 398, §2, for FY 2018 may record on this line an amount not to exceed the amount budgeted for the Dropout Prevention Programs in FY 1991. Districts should not include amounts on this line for expenditures that are to be made from the Impact Aid Fund.</t>
  </si>
  <si>
    <t>Record the amount of any judgments expected to be paid in FY 2018 for an excessive property tax valuation judgment per A.R.S. §§42-16213 and 42-16214. This amount should also be included on page 1, line 4.</t>
  </si>
  <si>
    <t xml:space="preserve">SEI Fund 071 is used to account for monies received from ADE to provide for the incremental cost of instruction to ELLs and must be used to supplement existing programs. In accordance with A.R.S. §15-756.03 and .04, SEI monies must not be used to supplant federal, state, or local monies, including desegregation monies, previously used for ELLs, or used to pay for the normal costs of conducting programs for English proficient students. Districts were required to submit a separate SEI Budget Request Form to ADE to request these monies for FY 2018. </t>
  </si>
  <si>
    <t>In accordance with A.R.S. §15-756.11, the Compensatory Instruction Fund 072 is used to account for monies received from ADE for compensatory instruction programs in addition to normal classroom instruction as described above.  Monies must be used to supplement existing programs and not supplant federal, state, or local monies, including desegregation monies levied pursuant to A.R.S. §15-910, used for ELLs or ELL compensatory instruction that were budgeted as of February 23, 2006. For FY 2018, there were no new monies available for compensatory instruction programs. ADE will allow districts to use the remaining monies but will deduct those amounts from future funding requests for compensatory instruction programs.</t>
  </si>
  <si>
    <t>Total Budgeted Revenues for Fiscal Year 2017                      $</t>
  </si>
  <si>
    <t>Prior FY 2017</t>
  </si>
  <si>
    <t>FY 2017 Performance Pay Unexpended Budget Carryforward (from Work</t>
  </si>
  <si>
    <t>FY 2017 Actual Expenditures  (For budget adoption use actual expenditures to date plus estimated expenditures through fiscal year-end.)</t>
  </si>
  <si>
    <t>Interest Earned in the Classroom Site Fund in FY 2017</t>
  </si>
  <si>
    <t>FY 2017 Unrestricted Capital Budget Limit (UCBL)</t>
  </si>
  <si>
    <t xml:space="preserve"> (from FY 2017 latest revised Budget, page 8, line A.12)</t>
  </si>
  <si>
    <t>Adjusted Amount Available for FY 2017 Capital Expenditures (line A.1 + A.2)</t>
  </si>
  <si>
    <t xml:space="preserve">Amount Budgeted in Fund 610 in FY 2017 </t>
  </si>
  <si>
    <t>(from FY 2017 latest revised Budget, page 4, line 10)</t>
  </si>
  <si>
    <t xml:space="preserve">FY 2017 Fund 610 Actual Expenditures  (For budget adoption use actual expenditures </t>
  </si>
  <si>
    <t xml:space="preserve">Interest Earned in Fund 610 in FY 2017 </t>
  </si>
  <si>
    <t>FY 2017 Classroom Site Fund Budget Limit (from FY 2017 latest revised Budget, page 8, line B.7)</t>
  </si>
  <si>
    <t>FY 2018 Truth in Taxation Base Limit (from FY 2017 TNT work sheet, line 3 + line 11)</t>
  </si>
  <si>
    <t xml:space="preserve">FY 2017 Total Actual Expenditures for programs above                                               </t>
  </si>
  <si>
    <t>Sum of FY 2017 original budget amounts for programs above (from FY 2017 TNT work sheet, sum of lines 4, 5, and 6)</t>
  </si>
  <si>
    <t xml:space="preserve">FY 2017 final budget for Small School Adjustment        </t>
  </si>
  <si>
    <t>FY 2017 original budget for Small School Adjustment (from FY 2017 TNT work sheet, line 7)</t>
  </si>
  <si>
    <t>Adjustments for FY 2017 Expenditures</t>
  </si>
  <si>
    <t>The prior year TNT Base Limit reported on line 1 is the total of the Adjusted FY 2017 TNT Base Limit and the 2017 Excess over TNT Limit. This calculation assumes that the district properly noticed any required TNT Hearing in 2017. If the district reported an amount on the Excess over Truth in Taxation Limit line in 2017 but did not provide the required notification of a TNT hearing, the 2017 Excess over TNT Limit amount should not be added here.</t>
  </si>
  <si>
    <t>Use actual expenditures to date plus estimated amounts for the remainder of FY 2017.</t>
  </si>
  <si>
    <t>2018 ADM</t>
  </si>
  <si>
    <t xml:space="preserve">    Total Expenditures (lines 14, and 24-29)</t>
  </si>
  <si>
    <t>200 and 300 Special Education</t>
  </si>
  <si>
    <t>Tuition Out Debt Service (from Work Sheet O, line 14) (A.R.S. §15-910.L)</t>
  </si>
  <si>
    <r>
      <t xml:space="preserve">Record adjustments to the General Budget Limit on these lines. If more than 1 year or type of adjustment is recorded on any one line,  indicate each year and the associated amount for each type of adjustment in the line description, but record only one combined amount for all years and types on each line. Record negative amounts in parentheses. Adjustments to the GBL for the 4.5% reduction for JTEDs with student counts greater than 2,000 should be entered on line 9(d). At the time of budget preparation, an estimate of the JTED reduction can be found in the footnote on Work Sheet J. Districts that need assistance with the adjustments should contact ADE’s budget team. 
</t>
    </r>
    <r>
      <rPr>
        <b/>
        <sz val="14"/>
        <color indexed="8"/>
        <rFont val="Times New Roman"/>
        <family val="1"/>
      </rPr>
      <t>Budget Revision</t>
    </r>
    <r>
      <rPr>
        <sz val="14"/>
        <color indexed="8"/>
        <rFont val="Times New Roman"/>
        <family val="1"/>
      </rPr>
      <t xml:space="preserve">
Districts should compare the budgeted adjustment amounts to the applicable ADE calculated values on page 1 of the most recent FY 2018 BUDG25, to determine if the amounts should be revised.</t>
    </r>
  </si>
  <si>
    <r>
      <rPr>
        <b/>
        <sz val="14"/>
        <rFont val="Times New Roman"/>
        <family val="1"/>
      </rPr>
      <t>Budget Revision</t>
    </r>
    <r>
      <rPr>
        <sz val="14"/>
        <rFont val="Times New Roman"/>
        <family val="1"/>
      </rPr>
      <t xml:space="preserve">
This line should reflect total actual UCO Fund 610 expenditures as reported on the district’s FY 2017 AFR, less expenditures approved under A.R.S. §15-907 that are in excess of the most recently revised adopted FY 2017 UCO budget (budget page 4, line 10).</t>
    </r>
  </si>
  <si>
    <r>
      <rPr>
        <b/>
        <sz val="14"/>
        <rFont val="Times New Roman"/>
        <family val="1"/>
      </rPr>
      <t>Budget Revision</t>
    </r>
    <r>
      <rPr>
        <sz val="14"/>
        <rFont val="Times New Roman"/>
        <family val="1"/>
      </rPr>
      <t xml:space="preserve">
Line A.8 should agree to the actual amount of interest earned on investments as reported on the district’s FY 2017 AFR for the UCO Fund.</t>
    </r>
  </si>
  <si>
    <r>
      <rPr>
        <b/>
        <sz val="14"/>
        <color indexed="8"/>
        <rFont val="Times New Roman"/>
        <family val="1"/>
      </rPr>
      <t>Budget Revision</t>
    </r>
    <r>
      <rPr>
        <sz val="14"/>
        <color indexed="8"/>
        <rFont val="Times New Roman"/>
        <family val="1"/>
      </rPr>
      <t xml:space="preserve">
Districts should compare budgeted adjustment amounts to the applicable ADE calculated values on page 2 of the most recent FY 2018 BUDG25, to determine if the amounts should be revised.</t>
    </r>
  </si>
  <si>
    <r>
      <rPr>
        <b/>
        <sz val="14"/>
        <rFont val="Times New Roman"/>
        <family val="1"/>
      </rPr>
      <t>Budget Revision</t>
    </r>
    <r>
      <rPr>
        <sz val="14"/>
        <rFont val="Times New Roman"/>
        <family val="1"/>
      </rPr>
      <t xml:space="preserve">
This line should agree to the total actual interest earned on CSF investments, as reported on the FY 2017 AFR for all three CSFs.</t>
    </r>
  </si>
  <si>
    <t>(from Work Sheet E, line X, or Work Sheet F, line III)</t>
  </si>
  <si>
    <t>FY 2018 Classroom Site Fund Allocation (provided by ADE, based on $386)  Enter the total allocation in the Total Fund 010 column.  Funds 011, 012, and 013 will automatically calculate.</t>
  </si>
  <si>
    <t>Fund 620 (2)</t>
  </si>
  <si>
    <t>Vocational and Technical Education (non-JTED)</t>
  </si>
  <si>
    <t>Joint Technical Education (JTED)</t>
  </si>
  <si>
    <t xml:space="preserve">http://www.azed.gov/finance/files/2017/05/2018budgetoverrideestimator.xls </t>
  </si>
  <si>
    <t>FY 2016 (A.R.S. §15-910.M)</t>
  </si>
  <si>
    <r>
      <t xml:space="preserve">See Line 3 Instructions above.
If the voters in the override election authorize the district to exceed the RCL, and the increase is to be </t>
    </r>
    <r>
      <rPr>
        <b/>
        <sz val="14"/>
        <rFont val="Times New Roman"/>
        <family val="1"/>
      </rPr>
      <t>fully funded by revenues other than property taxes</t>
    </r>
    <r>
      <rPr>
        <sz val="14"/>
        <rFont val="Times New Roman"/>
        <family val="1"/>
      </rPr>
      <t xml:space="preserve"> [A.R.S. §15‑481(F)], only revenues derived from the FY 2017 ending cash balance in the M&amp;O Fund [after the primary tax rate is reduced to zero as required by A.R.S. §15‑481(T)] may be used. A.R.S. §15‑481(P) </t>
    </r>
    <r>
      <rPr>
        <b/>
        <sz val="14"/>
        <rFont val="Times New Roman"/>
        <family val="1"/>
      </rPr>
      <t>Note: Districts will not be able to fund an override with Impact Aid monies in FY 2018, as Impact Aid monies are accounted for in the Impact Aid Fund.</t>
    </r>
  </si>
  <si>
    <r>
      <t xml:space="preserve">See Line 3 Instructions above.
If the voters in the override election authorize the district to exceed the Capital Outlay Revenue Limit or District Additional Assistance and the increase is to be </t>
    </r>
    <r>
      <rPr>
        <b/>
        <sz val="14"/>
        <rFont val="Times New Roman"/>
        <family val="1"/>
      </rPr>
      <t>fully funded by revenues other than property taxes</t>
    </r>
    <r>
      <rPr>
        <sz val="14"/>
        <rFont val="Times New Roman"/>
        <family val="1"/>
      </rPr>
      <t xml:space="preserve"> [A.R.S. §15‑481(M)], only revenues derived from the FY 2017 ending cash balance in the M&amp;O and UCO Funds [after the primary tax rate is reduced to zero as required by A.R.S. §15‑481(T)] may be used. A.R.S. §15‑481(S) </t>
    </r>
    <r>
      <rPr>
        <b/>
        <sz val="14"/>
        <rFont val="Times New Roman"/>
        <family val="1"/>
      </rPr>
      <t>Note: Districts will not be able to fund an override with Impact Aid monies in FY 2018, as Impact Aid monies are accounted for in the Impact Aid Fund.</t>
    </r>
    <r>
      <rPr>
        <sz val="14"/>
        <rFont val="Times New Roman"/>
        <family val="1"/>
      </rPr>
      <t xml:space="preserve">
The maximum amount a district may request for a capital budget override is 10% of the RCL. A.R.S. §15‑481(AA)</t>
    </r>
  </si>
  <si>
    <r>
      <t>Districts are required to use actual expenditures in calculating the budget balance carryforward. Districts that</t>
    </r>
    <r>
      <rPr>
        <b/>
        <sz val="14"/>
        <rFont val="Times New Roman"/>
        <family val="1"/>
      </rPr>
      <t xml:space="preserve"> have overexpended</t>
    </r>
    <r>
      <rPr>
        <sz val="14"/>
        <rFont val="Times New Roman"/>
        <family val="1"/>
      </rPr>
      <t xml:space="preserve"> in the FY 2017 M&amp;O Fund as authorized by the county board of supervisors, in accordance with A.R.S. §15‑907, </t>
    </r>
    <r>
      <rPr>
        <b/>
        <sz val="14"/>
        <rFont val="Times New Roman"/>
        <family val="1"/>
      </rPr>
      <t>cannot record a budget balance carryforward.</t>
    </r>
    <r>
      <rPr>
        <sz val="14"/>
        <rFont val="Times New Roman"/>
        <family val="1"/>
      </rPr>
      <t xml:space="preserve">
Districts that have not overexpended should complete the Work Sheet for Calculation of the FY 2018 Maintenance and Operation Fund Budget Balance Carryforward (Work Sheet M). Districts may transfer an amount to the School Opening Fund, not to exceed the lesser of the FY 2017 M&amp;O Fund ending cash balance or the actual budget balance carryforward. The amount transferred will reduce the amount of the budget balance carryforward; therefore, the amount carried forward may not exceed the amount on Work Sheet M, line 9.
</t>
    </r>
    <r>
      <rPr>
        <b/>
        <sz val="14"/>
        <rFont val="Times New Roman"/>
        <family val="1"/>
      </rPr>
      <t>Budget Revision</t>
    </r>
    <r>
      <rPr>
        <sz val="14"/>
        <rFont val="Times New Roman"/>
        <family val="1"/>
      </rPr>
      <t xml:space="preserve">
Districts should compare the amount on line 8(c) to the applicable amount on the FY 2017 BUDG75 Report to determine if revisions are necessary. The amounts on this line cannot exceed the amount reported on page 2 of the BUDG75 Report. </t>
    </r>
  </si>
  <si>
    <r>
      <t xml:space="preserve">Do </t>
    </r>
    <r>
      <rPr>
        <u val="single"/>
        <sz val="14"/>
        <rFont val="Times New Roman"/>
        <family val="1"/>
      </rPr>
      <t>not</t>
    </r>
    <r>
      <rPr>
        <sz val="14"/>
        <rFont val="Times New Roman"/>
        <family val="1"/>
      </rPr>
      <t xml:space="preserve"> include amounts budgeted for the Performance Pay component of the CSF here.
</t>
    </r>
    <r>
      <rPr>
        <b/>
        <sz val="14"/>
        <rFont val="Times New Roman"/>
        <family val="1"/>
      </rPr>
      <t>Budget Revision</t>
    </r>
    <r>
      <rPr>
        <sz val="14"/>
        <rFont val="Times New Roman"/>
        <family val="1"/>
      </rPr>
      <t xml:space="preserve">
Districts should compare the amount on this line to the applicable amounts on the FY 2017 BUDG75 Report to determine if revisions are necessary. The amounts on this line cannot exceed the amounts reported on page 2 of the BUDG75 Report.</t>
    </r>
  </si>
  <si>
    <t>Adjacent Ways Fund</t>
  </si>
  <si>
    <t>In accordance with A.R.S. §15-995, each adjacent ways project proposal must be filed with the School Facilities Board and include the project cost estimate. If the entire project cost for the adjacent ways project is greater than $50,000, the expenditure cannot be made unless the School Facilities Board validates both of the following:
-The project that is proposed to be funded by the assessment is in compliance with state laws relating to adjacent ways projects.
-The proposal selected by the district does not contain any additional work that is not listed in the adjacent ways proposal submitted by the district.</t>
  </si>
  <si>
    <t xml:space="preserve">Suppl </t>
  </si>
  <si>
    <t>Compensatory Instruction Fund 072  (A.R.S. §15-756.11)</t>
  </si>
  <si>
    <t>Structured English Immersion Fund 071  (A.R.S. §15-756.04)</t>
  </si>
  <si>
    <t>Additional Teacher Salary Increases (Laws 2017, Ch. 305, §33)</t>
  </si>
  <si>
    <t>SUPPLEMENT TO SCHOOL DISTRICT ANNUAL EXPENDITURE BUDGET FOR DISTRICTS THAT BUDGET FOR 
ENGLISH LANGUAGE LEARNERS (A.R.S. §§15-756.04 and 15-756.11)</t>
  </si>
  <si>
    <t xml:space="preserve">Classroom Site Fund BL  </t>
  </si>
  <si>
    <t xml:space="preserve">Unrestricted Capital BL  </t>
  </si>
  <si>
    <t xml:space="preserve">      budgets cannot exceed their respective budget limits (BL). </t>
  </si>
  <si>
    <t xml:space="preserve">    Education Center </t>
  </si>
  <si>
    <t xml:space="preserve">Joint Career and Technical Education and Vocational Education Center </t>
  </si>
  <si>
    <t>456 College Credit Exam Incentives</t>
  </si>
  <si>
    <t>457 Results-based Funding</t>
  </si>
  <si>
    <r>
      <t xml:space="preserve">Districts participating in the National School Lunch Program are required to budget a portion of their state revenues to support the operation of their food service program. Districts should budget in the M&amp;O Fund any amounts that will be expended during the 2018 school year for the operation of the food service program. Any questions related to the state matching requirements should be directed to ADE’s Health &amp; Nutrition Services at (602) 542‑8700.
</t>
    </r>
    <r>
      <rPr>
        <b/>
        <sz val="14"/>
        <rFont val="Times New Roman"/>
        <family val="1"/>
      </rPr>
      <t>Budget Revision</t>
    </r>
    <r>
      <rPr>
        <sz val="14"/>
        <rFont val="Times New Roman"/>
        <family val="1"/>
      </rPr>
      <t xml:space="preserve">
Districts that have not already budgeted for the state matching requirements, should include any amounts to be expended for their food service program in the M&amp;O Fund on this line before May 15. ADE’s Health &amp; Nutrition Services will verify that amounts budgeted were spent when the annual financial reports are submitted.</t>
    </r>
  </si>
  <si>
    <t>State Projects, Line 26</t>
  </si>
  <si>
    <t>State Projects, Line 27</t>
  </si>
  <si>
    <t>Districts should report total PSD-12 average daily membership for fiscal years 2016 and 2017 from the ADMS45-2 Report, available on ADE's Web site. Districts should estimate 2018 current fiscal year ADM.</t>
  </si>
  <si>
    <t>(A.R.S. §15-905.F)  (page 1, line 30 cannot exceed this amount)</t>
  </si>
  <si>
    <t>*1.</t>
  </si>
  <si>
    <t>*2.</t>
  </si>
  <si>
    <t>*3.</t>
  </si>
  <si>
    <t>*10.</t>
  </si>
  <si>
    <t xml:space="preserve">The budget file(s) for FY 2018 uploaded to the Arizona Department of Education, via the internet, on </t>
  </si>
  <si>
    <t>Maintenance and Operation (from Budget, page 1, line 30)</t>
  </si>
  <si>
    <t>Total (lines 1 through 8.  Must equal</t>
  </si>
  <si>
    <t>From Supplement, line 10 and line 20, respectively.</t>
  </si>
  <si>
    <t>Dropout Prevention (from page 1, line 27)</t>
  </si>
  <si>
    <t>District tax rates for FY 2017 should be the actual tax rates set by the County Board of Supervisors in August 2016. Tax rates for FY 2018 should be the district’s best estimate. Districts should include detailed secondary tax rates for M&amp;O, Special Program, and Capital Overrides; Class A Bonds; and Class B Bonds. Class A Bonds are general obligation bonds approved by voters on or before December 31, 1998. Class B Bonds are general obligation bonds approved by voters after December 31, 1998.</t>
  </si>
  <si>
    <t>(2) Amount budgeted on line 1 for the Adjacent Ways Fund that will result in a tax levy in FY 2018</t>
  </si>
  <si>
    <r>
      <t>Line</t>
    </r>
    <r>
      <rPr>
        <sz val="14"/>
        <rFont val="Times New Roman"/>
        <family val="1"/>
      </rPr>
      <t xml:space="preserve"> 1</t>
    </r>
  </si>
  <si>
    <t>The maximum amount a district may request for an M&amp;O budget override is 15% of the district’s RCL. If the district also requests a Special Program override pursuant to A.R.S. §15-482, the maximum amount a district may request for an M&amp;O override is 10% of the RCL. A.R.S. §15-481(G)</t>
  </si>
  <si>
    <r>
      <t>Districts with a student count of 125 or less in grades K‑8, or 100 or less in grades 9‑12 must include an amount on this line if they choose to make a small school adjustment to ensure that page 1, line 3</t>
    </r>
    <r>
      <rPr>
        <sz val="14"/>
        <color indexed="8"/>
        <rFont val="Times New Roman"/>
        <family val="1"/>
      </rPr>
      <t>0 d</t>
    </r>
    <r>
      <rPr>
        <sz val="14"/>
        <rFont val="Times New Roman"/>
        <family val="1"/>
      </rPr>
      <t xml:space="preserve">oes not exceed the GBL for M&amp;O. If the district previously qualified for a small school adjustment but has exceeded these student counts, see the instructions for Work Sheets K and K2. For the purposes of Small School Adjustment, districts should use prior year student count (2017 ADM). </t>
    </r>
    <r>
      <rPr>
        <b/>
        <sz val="14"/>
        <rFont val="Times New Roman"/>
        <family val="1"/>
      </rPr>
      <t>Districts should not include amounts on these lines for expenditures that are to be made from the Impact Aid Fund.</t>
    </r>
    <r>
      <rPr>
        <sz val="14"/>
        <rFont val="Times New Roman"/>
        <family val="1"/>
      </rPr>
      <t xml:space="preserve">
</t>
    </r>
    <r>
      <rPr>
        <b/>
        <sz val="14"/>
        <rFont val="Times New Roman"/>
        <family val="1"/>
      </rPr>
      <t>Budget Revision</t>
    </r>
    <r>
      <rPr>
        <sz val="14"/>
        <rFont val="Times New Roman"/>
        <family val="1"/>
      </rPr>
      <t xml:space="preserve">
If the district received approval from the county board of supervisors to revise its budget to include the cost of additional pupils that were not anticipated at budget adoption, include the revised amount on this line. </t>
    </r>
  </si>
  <si>
    <r>
      <t xml:space="preserve">Districts should not include amounts on this line for expenditures that are to be made from the Impact Aid Fund.
</t>
    </r>
    <r>
      <rPr>
        <b/>
        <sz val="14"/>
        <rFont val="Times New Roman"/>
        <family val="1"/>
      </rPr>
      <t>Budget Revisio</t>
    </r>
    <r>
      <rPr>
        <b/>
        <sz val="14"/>
        <color indexed="8"/>
        <rFont val="Times New Roman"/>
        <family val="1"/>
      </rPr>
      <t xml:space="preserve">n
</t>
    </r>
    <r>
      <rPr>
        <sz val="14"/>
        <color indexed="8"/>
        <rFont val="Times New Roman"/>
        <family val="1"/>
      </rPr>
      <t xml:space="preserve">
A common school district not within a high school district (Type 03) should report any adjustment for the excess debt service portion of actual tuition, as described in A.R.S. §§15-910(L) and 15‑951(A) and (F), on this line. (See Budget Revision instructions for Work Sheet O.) </t>
    </r>
  </si>
  <si>
    <r>
      <t xml:space="preserve">A district may budget an amount less than or equal to interest expense for registering warrants or for net interest expense (interest expense minus interest income) on tax anticipation notes outside the FY 2018 RCL, </t>
    </r>
    <r>
      <rPr>
        <b/>
        <sz val="14"/>
        <rFont val="Times New Roman"/>
        <family val="1"/>
      </rPr>
      <t>if both of the following conditions apply</t>
    </r>
    <r>
      <rPr>
        <sz val="14"/>
        <rFont val="Times New Roman"/>
        <family val="1"/>
      </rPr>
      <t>:
--The County Treasurer pooled all school district monies for investment during FY 20</t>
    </r>
    <r>
      <rPr>
        <sz val="14"/>
        <color indexed="8"/>
        <rFont val="Times New Roman"/>
        <family val="1"/>
      </rPr>
      <t>16</t>
    </r>
    <r>
      <rPr>
        <sz val="14"/>
        <rFont val="Times New Roman"/>
        <family val="1"/>
      </rPr>
      <t xml:space="preserve"> as provided in A.R.S. §15‑996.
--For those districts that received state aid in FY 201</t>
    </r>
    <r>
      <rPr>
        <sz val="14"/>
        <color indexed="8"/>
        <rFont val="Times New Roman"/>
        <family val="1"/>
      </rPr>
      <t>6, the d</t>
    </r>
    <r>
      <rPr>
        <sz val="14"/>
        <rFont val="Times New Roman"/>
        <family val="1"/>
      </rPr>
      <t xml:space="preserve">istricts applied for state aid apportionment before the date set as provided in A.R.S. §15‑973.
</t>
    </r>
  </si>
  <si>
    <r>
      <rPr>
        <b/>
        <sz val="14"/>
        <rFont val="Times New Roman"/>
        <family val="1"/>
      </rPr>
      <t>Budget Revision</t>
    </r>
    <r>
      <rPr>
        <sz val="14"/>
        <rFont val="Times New Roman"/>
        <family val="1"/>
      </rPr>
      <t xml:space="preserve">
Line A.2, if required, should agree to the most recent FY 2017 BUDG75 Report, page 2, “Add to FY18 Expenditure Budget for (UNR), page 8, line A2” This line will also include any positive or negative A.R.S. §15-915 adjustments as approved by ADE. Contact ADE School Finance to reconcile any differences.</t>
    </r>
  </si>
  <si>
    <r>
      <rPr>
        <b/>
        <sz val="14"/>
        <rFont val="Times New Roman"/>
        <family val="1"/>
      </rPr>
      <t>Budget Revision</t>
    </r>
    <r>
      <rPr>
        <sz val="14"/>
        <rFont val="Times New Roman"/>
        <family val="1"/>
      </rPr>
      <t xml:space="preserve">
Line A.3 should agree to the most recent FY 2017 BUDG75 Report, page 2 “Unrestricted Capital Available for FY17.” Contact ADE School Finance to reconcile any differences.</t>
    </r>
  </si>
  <si>
    <r>
      <t>Record adjustments to the UCBL on these lines.  If more than 1 year or type of adjustment is recorded for any one line, indicate each year and the associated amount for each type of adjustment in the line description</t>
    </r>
    <r>
      <rPr>
        <sz val="14"/>
        <color indexed="8"/>
        <rFont val="Times New Roman"/>
        <family val="1"/>
      </rPr>
      <t>, but record only one combined amount for all years and types on each line. Record negative amounts in parentheses. Adjustments to the UCBL for the 4.5% reduction for JTEDs with student counts greater than 2,000 should be entered on Line A.1</t>
    </r>
    <r>
      <rPr>
        <sz val="14"/>
        <rFont val="Times New Roman"/>
        <family val="1"/>
      </rPr>
      <t>0(b). At th</t>
    </r>
    <r>
      <rPr>
        <sz val="14"/>
        <color indexed="8"/>
        <rFont val="Times New Roman"/>
        <family val="1"/>
      </rPr>
      <t xml:space="preserve">e time of budget preparation, an estimate of the JTED reduction can be found in the footnote on Work Sheet J. Districts that need assistance with the adjustments should contact ADE’s budget team.
</t>
    </r>
    <r>
      <rPr>
        <sz val="5"/>
        <color indexed="8"/>
        <rFont val="Times New Roman"/>
        <family val="1"/>
      </rPr>
      <t xml:space="preserve">
</t>
    </r>
  </si>
  <si>
    <r>
      <rPr>
        <b/>
        <sz val="14"/>
        <color indexed="8"/>
        <rFont val="Times New Roman"/>
        <family val="1"/>
      </rPr>
      <t>Budget Revision</t>
    </r>
    <r>
      <rPr>
        <sz val="14"/>
        <color indexed="8"/>
        <rFont val="Times New Roman"/>
        <family val="1"/>
      </rPr>
      <t xml:space="preserve">
Line B.2 should reflect total actual CSF expenditures as reported on the district’s FY 2017 AFR</t>
    </r>
    <r>
      <rPr>
        <sz val="14"/>
        <color indexed="8"/>
        <rFont val="Times New Roman"/>
        <family val="1"/>
      </rPr>
      <t>.</t>
    </r>
  </si>
  <si>
    <t>Joint Technical Education</t>
  </si>
  <si>
    <t>Total State Project Funds (lines 19-29)</t>
  </si>
  <si>
    <t>Total Special Projects (lines 18 and 30)</t>
  </si>
  <si>
    <t>Additional Teacher Salary Increases - Line 3</t>
  </si>
  <si>
    <t>Additional Teacher Salary Increases - Line 6</t>
  </si>
  <si>
    <r>
      <t xml:space="preserve">Districts participating in the National School Lunch Program are required to budget a portion of their state revenues to support the operation of their food service program. Districts should budget in the UCO Fund any amounts that will be expended during the 2018 school year for the food service program. Any questions related to the state matching requirements should be directed to ADE’s Health &amp; Nutrition Services at (602) 542‑8700.
</t>
    </r>
    <r>
      <rPr>
        <b/>
        <sz val="14"/>
        <rFont val="Times New Roman"/>
        <family val="1"/>
      </rPr>
      <t>Budget Revision</t>
    </r>
    <r>
      <rPr>
        <sz val="14"/>
        <rFont val="Times New Roman"/>
        <family val="1"/>
      </rPr>
      <t xml:space="preserve"> 
Districts that have not already budgeted for the state matching requirements, should include any amounts to be expended for their food service program in the UCO Fund on this line before May 15. ADE’s Health &amp; Nutrition Services will verify that amounts budgeted were spent when the annual financial reports are submitted.
</t>
    </r>
  </si>
  <si>
    <t>These instructions are provided to help school districts prepare the expenditure budget. Within the forms, blue font and light blue highlights indicate that an instruction is linked to that specific line. An instructions button has also been provided that links to any general instructions or to the first instruction for a page. To return to the related form after reviewing the instructions, simply click on the form’s tab at the bottom of the Excel screen or press the Alt and back arrow keys. 
Districts should complete the Work Sheets and Supplements, as applicable, before completing the Budget forms. To ensure that the district’s data can be properly processed by ADE, formulas should not be changed without specific instructions from either the Arizona Auditor General's Office, Accounting Services Division, or ADE, School Finance.</t>
  </si>
  <si>
    <t>In accordance with A.R.S. §15-249.06, monies received from the college credit by examination incentive program should be deposited in Fund 456—College Credit Exam Incentives. At least 50% of the incentive bonus monies received from this program must be distributed to the associated classroom teacher for each student who passes a qualifying exam. The remainder of any bonus monies received from this program may be used for teacher professional development or student instructional support or materials.</t>
  </si>
  <si>
    <t>In accordance A.R.S. §15-249.08 as added by Laws 2017, Ch. 304, §3, monies received from the Results-based Funding Fund should be deposited in Fund 457—Results-based Funding. Monies received must be allocated directly to enhance, expand or replicate the school site that generated the results-based funding and must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</si>
  <si>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 - Line 4</t>
  </si>
  <si>
    <t>Additional Teacher Salary Increases - Line 7</t>
  </si>
  <si>
    <t>1.06% salary increase (line 4 times 1.06%)</t>
  </si>
  <si>
    <t>Employer share of retirement system expense for increase on line 5</t>
  </si>
  <si>
    <t>Employer share of FICA expense for increase on line 5</t>
  </si>
  <si>
    <t>Total DAA (line 2.a minus 2.b)</t>
  </si>
  <si>
    <t>FY 2018 Override Authorization (A.R.S. §§15-481 and 15-482 or 15-949 if small school adjustment phase down applies, see Work Sheets K and K2)</t>
  </si>
  <si>
    <t>Adjustment to the General Budget Limit (A.R.S. §§15-272, 15-905.M, 15-910.02, and 15-915) 
Include year(s) and descriptions, as applicable.</t>
  </si>
  <si>
    <t>CALCULATION OF FY 2018 UNRESTRICTED CAPITAL BUDGET LIMIT AND CLASSROOM SITE FUND BUDGET LIMIT 
(A.R.S. §15-947.D and A.R.S. §15-978)</t>
  </si>
  <si>
    <t>UNRESTRICTED CAPITAL BUDGET LIMIT</t>
  </si>
  <si>
    <t>CLASSROOM SITE FUND BUDGET LIMIT</t>
  </si>
  <si>
    <t>Estimated Allocation of Additional Funding (2016 Prop 123 &amp; Laws 2015, 1st S.S., Ch. 1, §6)</t>
  </si>
  <si>
    <t xml:space="preserve">Total Amount to be Used for Capital Expenditures (column B, lines 1 through 10) </t>
  </si>
  <si>
    <t>Small School Adjustment for Districts with a Student Count of 125 or less in K-8 or 100 or less in 9-12 (A.R.S. §15-949) (Up to $50,000 if no election is chosen for phase down, see Work Sheet K)</t>
  </si>
  <si>
    <t xml:space="preserve">Additional Teacher
Salary Increase
</t>
  </si>
  <si>
    <t>Spec. Ed by Type - Lines 4 and 5</t>
  </si>
  <si>
    <t>Spec. Ed. By Type - Lines 6 and 8</t>
  </si>
  <si>
    <t>Spec. Ed. by Type</t>
  </si>
  <si>
    <t>Additional Teacher Salary Increase - General</t>
  </si>
  <si>
    <t>Additional Teacher Salary Increases - Line 1 and 2</t>
  </si>
  <si>
    <t xml:space="preserve">Eligible teachers consist of any person eligible to be included in the year-end full-time equivalent (FTE) teacher count on the Annual Financial Report (AFR) of an Arizona school district or charter school in FY 2017 and who teaches at the district during FY 2018. This FTE is reported on page 9 of the AFR and is limited to employees whose salary is appropriately coded in Function 1000–Instruction. 
Line 1 is a count of all eligible teachers. 
Line 2 is the related total FTE. 
Do not include purchased services personnel or substitute teachers in either line. Districts should maintain adequate documentation to support that each teacher included met the eligibility requirements. Laws 2017, Ch. 305, §33
</t>
  </si>
  <si>
    <t>Additional Teacher Salary Increases - Lines 3 and 4</t>
  </si>
  <si>
    <t>Districts should include the FY 2018 salary amount of all eligible teachers, before the intended 1.06% salary increase. This amount should include any additional salary increase that districts would have provided to eligible teachers for FY 2018, apart from the intended 1.06% salary increase.</t>
  </si>
  <si>
    <t xml:space="preserve">Districts should calculate the amount of funding needed to pay the employer share of increases in employee-related expenses for the Arizona State Retirement System (ASRS) or other employee retirement systems. 
--For ASRS eligible employees calculate this amount using the FY 2018 ASRS contribution rate of 11.5% times the applicable amount included in the total on Line 5. 
--For eligible teachers that participate in other retirement systems calculate this amount based on the actual retirement contribution costs not to exceed the ASRS contribution rate related to the applicable amount included in the total on Line 5.
--For eligible teachers employed in positions that require the district to make an alternative contribution to ASRS, calculate the cost of that retirement contribution at a rate of 9.36% times the applicable amount included in the total on Line 5. Do not include alternative contributions made related to purchased service teachers, as they are not employed by the district and are therefore not eligible teachers.
</t>
  </si>
  <si>
    <t>The amount of funding needed to pay the employer share of related increases in employee-related expenses for the federal insurance contribution act (FICA) is calculated on this line as 7.65% of the amount on Line 5.</t>
  </si>
  <si>
    <t>We further attest that the Budget for Fiscal Year 2018, including the detailed information on Budget page 2, meets
 the requirements of Laws 2017, Chapter 305,  §33, pertaining to the intended 1.06 percent teacher salary increase.</t>
  </si>
  <si>
    <t>Total FY 2017 eligible teachers' salaries</t>
  </si>
  <si>
    <t>SPECIAL EDUCATION PROGRAMS BY TYPE (M&amp;O Fund Programs 200 and 300)</t>
  </si>
  <si>
    <t>Total FY 2018 eligible teachers' salaries before intended 1.06% increase</t>
  </si>
  <si>
    <t>Total amount needed to fund lines 5-7 (sum of lines 5-7)</t>
  </si>
  <si>
    <t xml:space="preserve">  (to Work Sheet C, Line XIII)</t>
  </si>
  <si>
    <t xml:space="preserve">General BL  </t>
  </si>
  <si>
    <t xml:space="preserve"> 3.  The Maintenance and Operation, Classroom Site, and Unrestricted Capital Outlay Fund</t>
  </si>
  <si>
    <t>of the Budget pursuant to A.R.S. §15-907 (1)</t>
  </si>
  <si>
    <t>Amount to be Levied in FY 2018 for Liabilities in Excess</t>
  </si>
  <si>
    <t>Amount to be Levied in FY 2018 for Adjacent Ways</t>
  </si>
  <si>
    <t>pursuant to A.R.S. §15-995 (from page 5, footnote 2) (1)</t>
  </si>
  <si>
    <r>
      <t xml:space="preserve">Include assistance received from the State for students whose parents are employed by certain State institutions as described in A.R.S. §15-976. Also, include amounts paid to the school district through the special education voucher payment system such as payments for teaching students at the district instead of sending the student to the Arizona State Schools for the Deaf and the Blind.
</t>
    </r>
    <r>
      <rPr>
        <b/>
        <sz val="14"/>
        <rFont val="Times New Roman"/>
        <family val="1"/>
      </rPr>
      <t>Budget Revision</t>
    </r>
    <r>
      <rPr>
        <sz val="14"/>
        <rFont val="Times New Roman"/>
        <family val="1"/>
      </rPr>
      <t xml:space="preserve">
Districts should use the work sheets provided by ADE to calculate the revised assistance to schools using the ADM reported on the FY 2018 ADM15. The work sheets are available on ADE’s website at the link below.</t>
    </r>
  </si>
  <si>
    <t xml:space="preserve">The Joint Technical Education District (JTED) expenditure program codes were not required in FY 2017. Therefore, any JTED expenditures budgeted in the M&amp;O Fund (not Fund 596) in the prior fiscal year, would have been included on line 6, Vocational and Technical Education. Beginning in FY 2018, all JTED expenditures budgeted in the M&amp;O Fund (not Fund 596) should be included on line 8, Joint Technical Education.  </t>
  </si>
  <si>
    <t xml:space="preserve">In accordance with A.R.S. §15-977(G)(1), the per pupil amount is calculated based on estimated available resources in the Classroom Site Fund for the budget year and adjusted for prior year revenue carryforwards or shortfalls. However, actual payments to districts may differ from the estimated per pupil Classroom Site Fund allocation. The FY 2018 allocation for the district is $386 multiplied by the district’s weighted student count (based on fundable students attending within the school district). The FY 2018 CSF actual payments detail reports will be available on ADE’s website at the link below beginning in August 2017. </t>
  </si>
  <si>
    <t>Number of teachers eligible for increase (FY 2018 Head Count)</t>
  </si>
  <si>
    <t>Number of teachers eligible for increase (FY 2018 FTE)</t>
  </si>
  <si>
    <t xml:space="preserve">Amounts in the prior year columns should be recorded from the budget columns of the latest revised Budget for FY 2017. Amounts should be rounded to the nearest dollar. 
Districts should budget for FY 2018 retirement contributions at the rate of 11.34%  and for long term disability at a rate of 0.16% for a total contribution rate of 11.50%. Districts should also budget for any applicable alternative contribution payments to state retirement at a rate of 9.36%. 
</t>
  </si>
  <si>
    <t xml:space="preserve">All districts must revise the FY 2018 budget, including the work sheets, to include the 2017 (prior year) and 2018 (current year) 100th-Day ADM from the applicable year's ADMS46-1 report, "Recalculated ADM State Aid Report."
</t>
  </si>
  <si>
    <r>
      <t xml:space="preserve">The members of a school district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district must include this notice in the notice of public hearing and board meeting to adopt the budget which will be posted on ADE's website. If the district maintains a website the district must also post the notice of the public hearing on its website.
By signing the cover of the budget, the governing board members are attesting that the Budget for FY 2018, including the information on Budget page 2, meets the requirements of Laws 2017, Ch. 305, §33.
</t>
    </r>
    <r>
      <rPr>
        <b/>
        <sz val="14"/>
        <rFont val="Times New Roman"/>
        <family val="1"/>
      </rPr>
      <t>Budget Revision</t>
    </r>
    <r>
      <rPr>
        <sz val="14"/>
        <rFont val="Times New Roman"/>
        <family val="1"/>
      </rPr>
      <t xml:space="preserve">
After the FY 2017 AFR is completed and no later than November 1, 2017, Districts may revise the calculation on Budget page 2 and Work Sheet C for the amount needed for the intended 1.06% teacher salary increase based on final FY 2017 eligible teacher salaries. To revise the budget for this calculation, districts must again comply with the notice and separate vote requirements described above for the initial vote. Please refer to the Submission and Publication Requirements document issued with these budget forms for additional information. 
</t>
    </r>
  </si>
  <si>
    <t xml:space="preserve">Districts should budget for K-3 Reading Program expenditures on this line.  The SBE must give approval to a district before any portion of the monies generated by the K-3 reading support level weight may be distributed to the district. A.R.S. §15-211, as amended by Laws 2017, Ch. 67, §1. </t>
  </si>
  <si>
    <r>
      <t xml:space="preserve">Program code 260—ELL Incremental Costs and program code 265—ELL Compensatory Instruction are required to track expenditures related to ELL. See Supplement </t>
    </r>
    <r>
      <rPr>
        <sz val="14"/>
        <rFont val="Times New Roman"/>
        <family val="1"/>
      </rPr>
      <t xml:space="preserve">instructions for more information on English language learners (ELL). </t>
    </r>
  </si>
  <si>
    <r>
      <t xml:space="preserve">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district would have provided to the teacher for FY 2018, prior to this allocation.
</t>
    </r>
    <r>
      <rPr>
        <b/>
        <sz val="14"/>
        <rFont val="Times New Roman"/>
        <family val="1"/>
      </rPr>
      <t xml:space="preserve">
Budget Revision</t>
    </r>
    <r>
      <rPr>
        <sz val="14"/>
        <rFont val="Times New Roman"/>
        <family val="1"/>
      </rPr>
      <t xml:space="preserve">
After the FY 2017 AFR is completed and no later than November 1, 2017, Districts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adjustment to the budget capacity and funding provided for the teacher salary increase.</t>
    </r>
  </si>
  <si>
    <t>In accordance with A.R.S. §15-904(B), detailed budgeted and actual expenditures for only the items listed in lines 2-11 must be reported from the UCO (610), Bond Building (630), New School Facilities (695), and Adjacent Ways (620) Funds. The amounts reported on lines 2-11 may not include all expenditures of these funds as shown on line 1. Total budgeted expenditures for each fund should be included on line 1 of the table. 
In addition, these detailed expenditures reported on lines 2-11 must be separately reported as new construction or renovation on lines 13-15. If the designation of new construction or renovation does not apply to a particular expenditure reported on lines 2-11, the amount should be reported as "Other."  Therefore, total budgeted expenditures for the detailed object codes listed for each fund as reported on line 12 must agree to the total amounts reported on line 16, by fund. Amounts on lines 12 and 16 may be less than the amounts on line 1 for each fund.</t>
  </si>
  <si>
    <t xml:space="preserve">Funds 071 and 072 should be budgeted in detail on the Supplement. Fund totals will pull to these lines. See the instructions for the Supplement for additional information. 
</t>
  </si>
  <si>
    <t>In accordance with A.R.S. §15-1102, the proceeds from the sale or lease of school district property should be deposited in the School Plant Fund (500). Expenditures made from the School Plant Fund (500) should be made in accordance with the requirements of A.R.S. §15-1102. Districts may establish sub funds for School Plant in funds 501-504 to account for monies received that are restricted to different purposes by statute, but one total budget for all related monies must be reported here in Fund 500.</t>
  </si>
  <si>
    <r>
      <t>Budgeted expenditures related to monies remaining in Fund 080—Student Success Fund should be reported on line 32</t>
    </r>
    <r>
      <rPr>
        <sz val="14"/>
        <rFont val="Calibri"/>
        <family val="2"/>
      </rPr>
      <t>—</t>
    </r>
    <r>
      <rPr>
        <sz val="14"/>
        <rFont val="Times New Roman"/>
        <family val="1"/>
      </rPr>
      <t>Other, along with any other funds not included elsewhere in the budget.</t>
    </r>
  </si>
  <si>
    <t>Other Funds, Line 32</t>
  </si>
  <si>
    <t>Suppl</t>
  </si>
  <si>
    <t>All districts must complete the Truth in Taxation Work Sheet to calculate the district’s truth in taxation base limit, to determine if a hearing is required, and to report the portion of the FY 2018 primary property tax rate related to each of the truth in taxation expenditure categories. Information from this Work Sheet is provided to the Department of Revenue, Property Tax Oversight Commission. If an amount on line 11, 12, or 13 is greater than zero, the district must publish a truth in taxation hearing notice and hold a hearing. The amounts calculated on lines A, B.2, and C.2 of the Work Sheet should be used, where indicated, on the sample truth in taxation hearing notice. Districts must submit the completed Work Sheet to ADE as part of the budget package and must notify ADE of any subsequent changes to the truth in taxation base limit. If a truth in taxation hearing is held, the Work Sheet must also be made available to the general public at the hearing. See Review, Submission, and Publication Instructions issued with the 2018 expenditure budget forms and A.R.S. §15-905.01 for further requirements.</t>
  </si>
  <si>
    <r>
      <t>After completing Work Sheet E</t>
    </r>
    <r>
      <rPr>
        <sz val="14"/>
        <color indexed="8"/>
        <rFont val="Calibri"/>
        <family val="2"/>
      </rPr>
      <t>—</t>
    </r>
    <r>
      <rPr>
        <sz val="14"/>
        <color indexed="8"/>
        <rFont val="Times New Roman"/>
        <family val="1"/>
      </rPr>
      <t>FY 2018 District Support Level (DSL) and Revenue Control Limit (RCL), and Work Sheet F</t>
    </r>
    <r>
      <rPr>
        <sz val="14"/>
        <color indexed="8"/>
        <rFont val="Calibri"/>
        <family val="2"/>
      </rPr>
      <t>—</t>
    </r>
    <r>
      <rPr>
        <sz val="14"/>
        <color indexed="8"/>
        <rFont val="Times New Roman"/>
        <family val="1"/>
      </rPr>
      <t xml:space="preserve">FY 2018 Consolidation/Unification Assistance, if applicable, enter the amount of the district RCL from line X of Work Sheet E, or line III of Work Sheet F, on line 1.
</t>
    </r>
    <r>
      <rPr>
        <b/>
        <sz val="14"/>
        <color indexed="8"/>
        <rFont val="Times New Roman"/>
        <family val="1"/>
      </rPr>
      <t xml:space="preserve">Budget Revision
</t>
    </r>
    <r>
      <rPr>
        <sz val="14"/>
        <color indexed="8"/>
        <rFont val="Times New Roman"/>
        <family val="1"/>
      </rPr>
      <t>For budget revision, Work sheets B, C, E, and F should be revised and the recalculated RCL should be reported on line 1. See budget revision instructions for those work sheets.</t>
    </r>
  </si>
  <si>
    <r>
      <rPr>
        <b/>
        <sz val="14"/>
        <color indexed="8"/>
        <rFont val="Times New Roman"/>
        <family val="1"/>
      </rPr>
      <t>Budget Revision</t>
    </r>
    <r>
      <rPr>
        <sz val="14"/>
        <color indexed="8"/>
        <rFont val="Times New Roman"/>
        <family val="1"/>
      </rPr>
      <t xml:space="preserve">
Compare the amounts for District Additional Assistance (DAA) on lines 2(a) and (b) to the applicable amounts calculated by ADE on page 1 of the most recent FY 2018 BUDG25 Report. Districts that include a reduction greater than the amount calculated by ADE on line (b), will reduce their budget capacity by that amount. Work Sheet H should be revised and the recalculated DAA reduction should be reported on line 2 (b). See budget revision instructions for Work Sheet H.</t>
    </r>
  </si>
  <si>
    <t>Laws 2017, Ch. 304, §§10 and 12 require ADE to reduce DAA for all school districts for FY 2018. See the instructions for Work Sheet H.</t>
  </si>
  <si>
    <r>
      <t xml:space="preserve">See Line 3 Instructions above.
A.R.S. §15-482 allows a district to request a budget override for programs designed for preschool students with disabilities and students enrolled in kindergarten through grade 12. The amount for the Special Program override may not exceed 5% of the RCL.
If the voters in the override election authorize the district to exceed the RCL, and the increase is to be fully funded by revenues other than property taxes [A.R.S. §15‑481(J)], the increase may only be budgeted and expended if sufficient monies are available in the M&amp;O Fund. A.R.S. §15‑481(Q) </t>
    </r>
    <r>
      <rPr>
        <b/>
        <sz val="14"/>
        <color indexed="8"/>
        <rFont val="Times New Roman"/>
        <family val="1"/>
      </rPr>
      <t>Note: Districts will not be able to fund an override with Impact Aid monies in FY 2018, as Impact Aid monies are accounted for in the Impact Aid Fund.</t>
    </r>
  </si>
  <si>
    <r>
      <t xml:space="preserve">Districts should </t>
    </r>
    <r>
      <rPr>
        <u val="single"/>
        <sz val="14"/>
        <color indexed="8"/>
        <rFont val="Times New Roman"/>
        <family val="1"/>
      </rPr>
      <t>not</t>
    </r>
    <r>
      <rPr>
        <sz val="14"/>
        <color indexed="8"/>
        <rFont val="Times New Roman"/>
        <family val="1"/>
      </rPr>
      <t xml:space="preserve"> include amounts on this line for expenditures that are to be made from the Impact Aid Fund.
</t>
    </r>
    <r>
      <rPr>
        <b/>
        <sz val="14"/>
        <color indexed="8"/>
        <rFont val="Times New Roman"/>
        <family val="1"/>
      </rPr>
      <t>Budget Revision</t>
    </r>
    <r>
      <rPr>
        <sz val="14"/>
        <color indexed="8"/>
        <rFont val="Times New Roman"/>
        <family val="1"/>
      </rPr>
      <t xml:space="preserve">
If the June 30, 2017, actual cash balance for the M&amp;O Fund was incorrectly estimated, an accommodation school district must complete and submit a revised Work Sheet S, even if the amount recorded on line 7 of the adopted budget is not revised. If the June 30, 2017 actual cash balance for the M&amp;O Fund was accurate, accommodation schools may recalculate Work Sheet S for other changes.
In completing line I.A of Work Sheet S, use the lesser of the revised DSL or RCL from Work Sheet E (should agree to page 4 of the most recent FY 2017 APOR55-1 Report). Record the district’s actual cash balance for the M&amp;O Fund at June 30, 2017, on line II.A.1.  On line II.A.2, record the “Allowed Budget Balance Carry Forward” as reported on page 2 of the most recent FY 2017 BUDG75 Report. Finally, districts should recalculate lines II.B.2 and 3 based on the revised RCL. 
Districts should compare the recalculated amount on line II.B.5 of Work Sheet S to line 7 to determine whether the amount must be decreased or may be increased. 
</t>
    </r>
  </si>
  <si>
    <r>
      <t xml:space="preserve">For FY 2018, 2016 Prop 123 and Laws 2015, 1st Special Session, Ch. 1, §6 provide total additional funding of $50,000,000 to districts and charter schools on a pro rata basis.  Districts should increase their budget limits by </t>
    </r>
    <r>
      <rPr>
        <b/>
        <sz val="14"/>
        <color indexed="8"/>
        <rFont val="Times New Roman"/>
        <family val="1"/>
      </rPr>
      <t>estimating</t>
    </r>
    <r>
      <rPr>
        <sz val="14"/>
        <color indexed="8"/>
        <rFont val="Times New Roman"/>
        <family val="1"/>
      </rPr>
      <t xml:space="preserve"> their portion of the increase by using the district's percent of statewide weighted student count as reported on ADE's Classroom Site Fund Detail Report multiplied by $50,000,000. </t>
    </r>
    <r>
      <rPr>
        <b/>
        <sz val="14"/>
        <color indexed="8"/>
        <rFont val="Times New Roman"/>
        <family val="1"/>
      </rPr>
      <t xml:space="preserve">However, actual amounts will vary and ADE will notify districts of the final amounts.
Budget Revision
</t>
    </r>
    <r>
      <rPr>
        <sz val="14"/>
        <color indexed="8"/>
        <rFont val="Times New Roman"/>
        <family val="1"/>
      </rPr>
      <t>Districts should compare actual additional funding received or expected to be received by June 30 to the amount reported on this line. The amount on this line cannot exceed the actual amount received for additional funding.</t>
    </r>
  </si>
  <si>
    <r>
      <t>Districts should use prior year ADM to calculate the RCL for overrides (A.R.S. §15-943). Districts that were current year funded in FY 2017 can get weighted student counts from page 4 of ADE's "APOR Equalization Report", APOR 55-1. All other d</t>
    </r>
    <r>
      <rPr>
        <strike/>
        <sz val="14"/>
        <color indexed="8"/>
        <rFont val="Times New Roman"/>
        <family val="1"/>
      </rPr>
      <t>i</t>
    </r>
    <r>
      <rPr>
        <sz val="14"/>
        <color indexed="8"/>
        <rFont val="Times New Roman"/>
        <family val="1"/>
      </rPr>
      <t xml:space="preserve">stricts may recalculate their RCL based on prior year ADM in a separate copy of Work Sheets B, C, D, and E. </t>
    </r>
    <r>
      <rPr>
        <b/>
        <u val="single"/>
        <sz val="14"/>
        <color indexed="8"/>
        <rFont val="Times New Roman"/>
        <family val="1"/>
      </rPr>
      <t>Do not</t>
    </r>
    <r>
      <rPr>
        <sz val="14"/>
        <color indexed="8"/>
        <rFont val="Times New Roman"/>
        <family val="1"/>
      </rPr>
      <t xml:space="preserve"> submit this separate copy of the Work Sheets to ADE. ADE has posted a link to an override calculation worksheet that may be used as a guide in estimating the override amount. The override calculation worksheet and instructions can be found at the link below.
In accordance with A.R.S. §15-951(B), the RCL used to determine the maximum M&amp;O and Special Program overrides for Type 03 districts does not include the tuition paid by the district for high school students attending another district.
Do not include any overrides authorized to use excess Impact Aid cash on these lines.
ADE is currently developing a new system to collect the results from Special Elections. Districts will be notified on the new procedure at a future date.
</t>
    </r>
  </si>
  <si>
    <t xml:space="preserve">Report base salaries (including CSF Performance Pay), overtime, and additional compensation that was paid in FY 2017 or will be paid in FY 2018 to eligible certified teachers from all funds that are appropriately coded to Function 1000–Instruction. 
These salary amounts should be consistent with the amounts reported in the AFR, Page 9, Teacher Salaries table for eligible certified teachers. 
See additional instructions for lines 3 and 4 below.
</t>
  </si>
  <si>
    <t xml:space="preserve">Districts should include the FY 2017 salary amount of all eligible teachers. As this amount may include salaries for teachers that were employed at a different Arizona school district or charter school in FY 2017, districts should obtain and maintain documentation to support the FY 2017 salary amounts for those eligible teachers in addition to maintaining salary documentation for eligible teachers that were employed by the same district in FY 2017. </t>
  </si>
  <si>
    <t>Maricopa</t>
  </si>
  <si>
    <t>Gilbert Public Schools</t>
  </si>
  <si>
    <t>070241000</t>
  </si>
  <si>
    <t>9___   Enterprise Funds</t>
  </si>
  <si>
    <t xml:space="preserve">  200 and 300 Special Education</t>
  </si>
  <si>
    <t xml:space="preserve">   Program 200 and 300 Subtotal (lines 5-7)</t>
  </si>
  <si>
    <t>Mr. Shane McCord</t>
  </si>
  <si>
    <t>Jackie Mattinen</t>
  </si>
  <si>
    <t>jackie.mattinen@gilbertschools.net</t>
  </si>
  <si>
    <t>480-497-3452</t>
  </si>
  <si>
    <t>Sheila Rogers</t>
  </si>
  <si>
    <t>Reed Carr</t>
  </si>
  <si>
    <t>Lori Wood</t>
  </si>
  <si>
    <t>Jill Humphries</t>
  </si>
  <si>
    <t>Charles Santa Cruz</t>
  </si>
  <si>
    <t>Revised #2</t>
  </si>
  <si>
    <t>Bonnie Betz</t>
  </si>
  <si>
    <t>October 30</t>
  </si>
  <si>
    <t>, 2018, and that the complete Proposed Expenditure Budget may be reviewed by contacting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</si>
</sst>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_);\(#,##0.0\)"/>
    <numFmt numFmtId="167" formatCode="0_);\(0\)"/>
    <numFmt numFmtId="168" formatCode="&quot;$&quot;#,##0"/>
    <numFmt numFmtId="169" formatCode="#,##0.0000_);[Red]\(#,##0.0000\)"/>
    <numFmt numFmtId="170" formatCode="#,##0.000_);[Red]\(#,##0.000\)"/>
    <numFmt numFmtId="171" formatCode="0.0000"/>
    <numFmt numFmtId="172" formatCode="#,##0.0000_);\(#,##0.0000\)"/>
    <numFmt numFmtId="173" formatCode="#,##0.0000"/>
    <numFmt numFmtId="174" formatCode="mmmm\ d\,\ yyyy"/>
    <numFmt numFmtId="175" formatCode="\(0E+00\);\(\-0E+00\)"/>
    <numFmt numFmtId="176" formatCode="_(&quot;$&quot;* #,##0_);_(&quot;$&quot;* \(#,##0\);_(&quot;$&quot;* &quot;-&quot;??_);_(@_)"/>
    <numFmt numFmtId="177" formatCode="[$-409]mmmm\ d\,\ yyyy;@"/>
    <numFmt numFmtId="178" formatCode="[&lt;=9999999]###\-####;\(###\)\ ###\-####"/>
    <numFmt numFmtId="179" formatCode="&quot;$&quot;#,##0.00"/>
    <numFmt numFmtId="180" formatCode="&quot;$&quot;#,##0.0"/>
  </numFmts>
  <fonts count="111">
    <font>
      <sz val="12"/>
      <name val="Arial"/>
      <family val="0"/>
    </font>
    <font>
      <sz val="11"/>
      <color indexed="8"/>
      <name val="Calibri"/>
      <family val="2"/>
    </font>
    <font>
      <sz val="10"/>
      <name val="Arial"/>
      <family val="2"/>
    </font>
    <font>
      <sz val="12"/>
      <name val="Times New Roman"/>
      <family val="1"/>
    </font>
    <font>
      <sz val="10"/>
      <name val="Times New Roman"/>
      <family val="1"/>
    </font>
    <font>
      <sz val="11"/>
      <name val="Times New Roman"/>
      <family val="1"/>
    </font>
    <font>
      <sz val="8"/>
      <name val="Times New Roman"/>
      <family val="1"/>
    </font>
    <font>
      <b/>
      <sz val="12"/>
      <name val="Times New Roman"/>
      <family val="1"/>
    </font>
    <font>
      <sz val="9"/>
      <name val="Times New Roman"/>
      <family val="1"/>
    </font>
    <font>
      <b/>
      <sz val="10"/>
      <name val="Times New Roman"/>
      <family val="1"/>
    </font>
    <font>
      <b/>
      <sz val="9"/>
      <name val="Times New Roman"/>
      <family val="1"/>
    </font>
    <font>
      <sz val="10"/>
      <color indexed="12"/>
      <name val="Times New Roman"/>
      <family val="1"/>
    </font>
    <font>
      <sz val="9"/>
      <color indexed="8"/>
      <name val="Times New Roman"/>
      <family val="1"/>
    </font>
    <font>
      <b/>
      <sz val="8"/>
      <color indexed="8"/>
      <name val="Times New Roman"/>
      <family val="1"/>
    </font>
    <font>
      <sz val="8"/>
      <color indexed="8"/>
      <name val="Times New Roman"/>
      <family val="1"/>
    </font>
    <font>
      <b/>
      <sz val="8"/>
      <name val="Times New Roman"/>
      <family val="1"/>
    </font>
    <font>
      <sz val="4"/>
      <name val="Times New Roman"/>
      <family val="1"/>
    </font>
    <font>
      <b/>
      <sz val="18"/>
      <name val="Times New Roman"/>
      <family val="1"/>
    </font>
    <font>
      <sz val="9"/>
      <name val="Arial MT"/>
      <family val="0"/>
    </font>
    <font>
      <sz val="12"/>
      <name val="Arial MT"/>
      <family val="0"/>
    </font>
    <font>
      <sz val="8"/>
      <name val="Arial MT"/>
      <family val="0"/>
    </font>
    <font>
      <b/>
      <sz val="8"/>
      <color indexed="8"/>
      <name val="Arial"/>
      <family val="2"/>
    </font>
    <font>
      <b/>
      <sz val="9"/>
      <color indexed="8"/>
      <name val="Times New Roman"/>
      <family val="1"/>
    </font>
    <font>
      <u val="single"/>
      <sz val="9"/>
      <color indexed="8"/>
      <name val="Times New Roman"/>
      <family val="1"/>
    </font>
    <font>
      <sz val="10"/>
      <color indexed="8"/>
      <name val="Times New Roman"/>
      <family val="1"/>
    </font>
    <font>
      <sz val="9"/>
      <name val="Arial"/>
      <family val="2"/>
    </font>
    <font>
      <sz val="11"/>
      <name val="Arial"/>
      <family val="2"/>
    </font>
    <font>
      <u val="single"/>
      <sz val="9"/>
      <color indexed="12"/>
      <name val="Arial"/>
      <family val="2"/>
    </font>
    <font>
      <b/>
      <vertAlign val="superscript"/>
      <sz val="8"/>
      <color indexed="8"/>
      <name val="Times New Roman"/>
      <family val="1"/>
    </font>
    <font>
      <sz val="8"/>
      <name val="Arial"/>
      <family val="2"/>
    </font>
    <font>
      <b/>
      <sz val="10"/>
      <color indexed="8"/>
      <name val="Times New Roman"/>
      <family val="1"/>
    </font>
    <font>
      <u val="single"/>
      <sz val="9"/>
      <color indexed="12"/>
      <name val="Times New Roman"/>
      <family val="1"/>
    </font>
    <font>
      <b/>
      <sz val="12"/>
      <name val="Arial"/>
      <family val="2"/>
    </font>
    <font>
      <sz val="12"/>
      <color indexed="8"/>
      <name val="Times New Roman"/>
      <family val="1"/>
    </font>
    <font>
      <sz val="12"/>
      <color indexed="9"/>
      <name val="Times New Roman"/>
      <family val="1"/>
    </font>
    <font>
      <sz val="10"/>
      <name val="Arial MT"/>
      <family val="0"/>
    </font>
    <font>
      <sz val="9"/>
      <color indexed="12"/>
      <name val="Times New Roman"/>
      <family val="1"/>
    </font>
    <font>
      <b/>
      <sz val="10"/>
      <color indexed="12"/>
      <name val="Times New Roman"/>
      <family val="1"/>
    </font>
    <font>
      <sz val="8"/>
      <color indexed="12"/>
      <name val="Times New Roman"/>
      <family val="1"/>
    </font>
    <font>
      <sz val="14"/>
      <name val="Times New Roman"/>
      <family val="1"/>
    </font>
    <font>
      <b/>
      <sz val="14"/>
      <name val="Times New Roman"/>
      <family val="1"/>
    </font>
    <font>
      <u val="single"/>
      <sz val="14"/>
      <color indexed="12"/>
      <name val="Times New Roman"/>
      <family val="1"/>
    </font>
    <font>
      <u val="single"/>
      <sz val="14"/>
      <name val="Times New Roman"/>
      <family val="1"/>
    </font>
    <font>
      <sz val="14"/>
      <color indexed="8"/>
      <name val="Times New Roman"/>
      <family val="1"/>
    </font>
    <font>
      <b/>
      <sz val="14"/>
      <color indexed="8"/>
      <name val="Times New Roman"/>
      <family val="1"/>
    </font>
    <font>
      <i/>
      <sz val="10"/>
      <name val="Times New Roman"/>
      <family val="1"/>
    </font>
    <font>
      <sz val="14"/>
      <name val="Franklin Gothic Medium"/>
      <family val="2"/>
    </font>
    <font>
      <b/>
      <sz val="8"/>
      <color indexed="12"/>
      <name val="Times New Roman"/>
      <family val="1"/>
    </font>
    <font>
      <b/>
      <u val="single"/>
      <sz val="9"/>
      <color indexed="12"/>
      <name val="Times New Roman"/>
      <family val="1"/>
    </font>
    <font>
      <sz val="5"/>
      <color indexed="8"/>
      <name val="Times New Roman"/>
      <family val="1"/>
    </font>
    <font>
      <u val="single"/>
      <sz val="10"/>
      <name val="Times New Roman"/>
      <family val="1"/>
    </font>
    <font>
      <sz val="10"/>
      <name val="Calibri"/>
      <family val="2"/>
    </font>
    <font>
      <sz val="14"/>
      <name val="Calibri"/>
      <family val="2"/>
    </font>
    <font>
      <sz val="14"/>
      <color indexed="8"/>
      <name val="Calibri"/>
      <family val="2"/>
    </font>
    <font>
      <strike/>
      <sz val="14"/>
      <color indexed="8"/>
      <name val="Times New Roman"/>
      <family val="1"/>
    </font>
    <font>
      <b/>
      <u val="single"/>
      <sz val="14"/>
      <color indexed="8"/>
      <name val="Times New Roman"/>
      <family val="1"/>
    </font>
    <font>
      <u val="single"/>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color indexed="10"/>
      <name val="Times New Roman"/>
      <family val="1"/>
    </font>
    <font>
      <b/>
      <sz val="16"/>
      <color indexed="60"/>
      <name val="Times New Roman"/>
      <family val="1"/>
    </font>
    <font>
      <sz val="20"/>
      <color indexed="60"/>
      <name val="Times New Roman"/>
      <family val="1"/>
    </font>
    <font>
      <b/>
      <sz val="22"/>
      <color indexed="10"/>
      <name val="Times New Roman"/>
      <family val="1"/>
    </font>
    <font>
      <b/>
      <sz val="20"/>
      <color indexed="60"/>
      <name val="Times New Roman"/>
      <family val="1"/>
    </font>
    <font>
      <sz val="8"/>
      <name val="Segoe U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
      <sz val="8"/>
      <color theme="1"/>
      <name val="Times New Roman"/>
      <family val="1"/>
    </font>
    <font>
      <sz val="9"/>
      <color rgb="FF0000FF"/>
      <name val="Times New Roman"/>
      <family val="1"/>
    </font>
    <font>
      <sz val="14"/>
      <color theme="1"/>
      <name val="Times New Roman"/>
      <family val="1"/>
    </font>
    <font>
      <b/>
      <sz val="12"/>
      <color rgb="FFFF0000"/>
      <name val="Times New Roman"/>
      <family val="1"/>
    </font>
    <font>
      <sz val="9"/>
      <color theme="1"/>
      <name val="Times New Roman"/>
      <family val="1"/>
    </font>
    <font>
      <sz val="10"/>
      <color theme="1"/>
      <name val="Times New Roman"/>
      <family val="1"/>
    </font>
    <font>
      <b/>
      <sz val="16"/>
      <color rgb="FFC00000"/>
      <name val="Times New Roman"/>
      <family val="1"/>
    </font>
    <font>
      <sz val="20"/>
      <color rgb="FFC00000"/>
      <name val="Times New Roman"/>
      <family val="1"/>
    </font>
    <font>
      <b/>
      <sz val="10"/>
      <color rgb="FF0000FF"/>
      <name val="Times New Roman"/>
      <family val="1"/>
    </font>
    <font>
      <b/>
      <sz val="22"/>
      <color rgb="FFFF0000"/>
      <name val="Times New Roman"/>
      <family val="1"/>
    </font>
    <font>
      <b/>
      <sz val="20"/>
      <color rgb="FFC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969696"/>
        <bgColor indexed="64"/>
      </patternFill>
    </fill>
    <fill>
      <patternFill patternType="solid">
        <fgColor rgb="FFCCFFFF"/>
        <bgColor indexed="64"/>
      </patternFill>
    </fill>
    <fill>
      <patternFill patternType="solid">
        <fgColor theme="0" tint="-0.1499900072813034"/>
        <bgColor indexed="64"/>
      </patternFill>
    </fill>
    <fill>
      <patternFill patternType="solid">
        <fgColor rgb="FFD9D9D9"/>
        <bgColor indexed="64"/>
      </patternFill>
    </fill>
    <fill>
      <patternFill patternType="solid">
        <fgColor rgb="FF969696"/>
        <bgColor indexed="64"/>
      </patternFill>
    </fill>
    <fill>
      <patternFill patternType="solid">
        <fgColor theme="1" tint="0.49998000264167786"/>
        <bgColor indexed="64"/>
      </patternFill>
    </fill>
    <fill>
      <patternFill patternType="solid">
        <fgColor theme="0" tint="-0.3499799966812134"/>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border>
    <border>
      <left style="thin"/>
      <right/>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right/>
      <top style="thin"/>
      <bottom style="thin"/>
    </border>
    <border>
      <left style="thin"/>
      <right/>
      <top/>
      <bottom style="thin"/>
    </border>
    <border>
      <left/>
      <right style="thin"/>
      <top/>
      <bottom style="thin"/>
    </border>
    <border>
      <left style="thin">
        <color indexed="8"/>
      </left>
      <right style="thin">
        <color indexed="8"/>
      </right>
      <top style="thin">
        <color indexed="8"/>
      </top>
      <bottom style="thin">
        <color indexed="8"/>
      </bottom>
    </border>
    <border>
      <left/>
      <right/>
      <top style="thin"/>
      <bottom/>
    </border>
    <border>
      <left/>
      <right style="thin"/>
      <top style="thin"/>
      <bottom/>
    </border>
    <border>
      <left/>
      <right style="thin"/>
      <top/>
      <bottom/>
    </border>
    <border>
      <left style="thin"/>
      <right/>
      <top style="thin"/>
      <bottom/>
    </border>
    <border>
      <left/>
      <right/>
      <top style="thin"/>
      <bottom style="thin">
        <color indexed="8"/>
      </bottom>
    </border>
    <border>
      <left/>
      <right style="thin"/>
      <top style="thin"/>
      <bottom style="thin">
        <color indexed="8"/>
      </bottom>
    </border>
    <border>
      <left/>
      <right style="thin">
        <color indexed="8"/>
      </right>
      <top/>
      <bottom style="thin"/>
    </border>
    <border>
      <left style="thin">
        <color indexed="8"/>
      </left>
      <right style="thin">
        <color indexed="8"/>
      </right>
      <top/>
      <bottom style="double">
        <color indexed="8"/>
      </bottom>
    </border>
    <border>
      <left style="thin">
        <color indexed="8"/>
      </left>
      <right style="thin"/>
      <top style="thin">
        <color indexed="8"/>
      </top>
      <bottom/>
    </border>
    <border>
      <left/>
      <right/>
      <top/>
      <bottom style="thin"/>
    </border>
    <border>
      <left style="thin"/>
      <right style="thin"/>
      <top style="thin"/>
      <bottom style="thin"/>
    </border>
    <border>
      <left style="thin">
        <color indexed="8"/>
      </left>
      <right/>
      <top/>
      <bottom style="thin"/>
    </border>
    <border>
      <left/>
      <right/>
      <top/>
      <bottom style="double">
        <color indexed="8"/>
      </bottom>
    </border>
    <border>
      <left style="thin">
        <color indexed="8"/>
      </left>
      <right style="thin"/>
      <top/>
      <bottom/>
    </border>
    <border>
      <left/>
      <right/>
      <top style="thin"/>
      <bottom style="thin"/>
    </border>
    <border>
      <left style="thin">
        <color indexed="8"/>
      </left>
      <right style="thin">
        <color indexed="8"/>
      </right>
      <top style="medium">
        <color indexed="8"/>
      </top>
      <bottom style="double">
        <color indexed="8"/>
      </bottom>
    </border>
    <border>
      <left style="thin"/>
      <right style="thin"/>
      <top/>
      <bottom/>
    </border>
    <border>
      <left style="thin"/>
      <right style="thin"/>
      <top style="thin"/>
      <bottom/>
    </border>
    <border>
      <left/>
      <right style="thin"/>
      <top/>
      <bottom style="thin">
        <color indexed="8"/>
      </bottom>
    </border>
    <border>
      <left style="thin"/>
      <right style="thin"/>
      <top/>
      <bottom style="thin"/>
    </border>
    <border>
      <left style="thin">
        <color indexed="8"/>
      </left>
      <right style="thin">
        <color indexed="8"/>
      </right>
      <top style="thin"/>
      <bottom/>
    </border>
    <border>
      <left style="thin">
        <color indexed="8"/>
      </left>
      <right style="thin"/>
      <top/>
      <bottom style="thin"/>
    </border>
    <border>
      <left style="thin"/>
      <right style="thin">
        <color indexed="8"/>
      </right>
      <top style="thin"/>
      <bottom style="thin"/>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color indexed="8"/>
      </top>
      <bottom style="thin"/>
    </border>
    <border>
      <left style="thin"/>
      <right style="thin">
        <color indexed="8"/>
      </right>
      <top style="thin">
        <color indexed="8"/>
      </top>
      <bottom style="thin">
        <color indexed="8"/>
      </bottom>
    </border>
    <border>
      <left style="thin"/>
      <right style="thin">
        <color indexed="8"/>
      </right>
      <top/>
      <bottom style="thin"/>
    </border>
    <border>
      <left style="thin">
        <color indexed="8"/>
      </left>
      <right/>
      <top/>
      <bottom style="double">
        <color indexed="8"/>
      </bottom>
    </border>
    <border>
      <left style="thin">
        <color indexed="8"/>
      </left>
      <right/>
      <top style="thin">
        <color indexed="8"/>
      </top>
      <bottom style="medium">
        <color indexed="8"/>
      </bottom>
    </border>
    <border>
      <left/>
      <right style="thin">
        <color indexed="8"/>
      </right>
      <top style="thin">
        <color indexed="8"/>
      </top>
      <bottom style="medium">
        <color indexed="8"/>
      </bottom>
    </border>
    <border>
      <left style="thin">
        <color indexed="8"/>
      </left>
      <right style="thin"/>
      <top style="thin"/>
      <bottom style="thin">
        <color indexed="8"/>
      </bottom>
    </border>
    <border>
      <left style="thin">
        <color indexed="8"/>
      </left>
      <right style="thin">
        <color indexed="8"/>
      </right>
      <top style="thin"/>
      <bottom style="thin">
        <color indexed="8"/>
      </bottom>
    </border>
    <border>
      <left style="thin">
        <color indexed="8"/>
      </left>
      <right/>
      <top style="thin"/>
      <bottom style="thin"/>
    </border>
    <border>
      <left style="thin">
        <color indexed="8"/>
      </left>
      <right style="thin"/>
      <top style="thin"/>
      <bottom style="thin"/>
    </border>
    <border>
      <left/>
      <right/>
      <top style="thin">
        <color indexed="8"/>
      </top>
      <bottom style="thin"/>
    </border>
    <border>
      <left style="thin"/>
      <right style="thin">
        <color indexed="8"/>
      </right>
      <top style="thin">
        <color indexed="8"/>
      </top>
      <bottom/>
    </border>
    <border>
      <left style="thin"/>
      <right style="thin">
        <color indexed="8"/>
      </right>
      <top/>
      <bottom/>
    </border>
    <border>
      <left style="thin"/>
      <right style="thin">
        <color indexed="8"/>
      </right>
      <top style="thin"/>
      <bottom/>
    </border>
    <border>
      <left style="thin">
        <color indexed="8"/>
      </left>
      <right style="thin"/>
      <top style="thin"/>
      <bottom/>
    </border>
    <border>
      <left style="thin">
        <color indexed="8"/>
      </left>
      <right style="thin"/>
      <top/>
      <bottom style="thin">
        <color indexed="8"/>
      </bottom>
    </border>
    <border>
      <left style="thin">
        <color indexed="8"/>
      </left>
      <right/>
      <top style="double">
        <color indexed="8"/>
      </top>
      <bottom/>
    </border>
    <border>
      <left/>
      <right style="thin">
        <color indexed="8"/>
      </right>
      <top style="double">
        <color indexed="8"/>
      </top>
      <bottom/>
    </border>
    <border>
      <left/>
      <right style="thin"/>
      <top style="thin"/>
      <bottom style="thin"/>
    </border>
    <border>
      <left style="thin"/>
      <right style="thin"/>
      <top style="thin">
        <color indexed="8"/>
      </top>
      <bottom/>
    </border>
    <border>
      <left/>
      <right/>
      <top/>
      <bottom style="thin">
        <color theme="1"/>
      </bottom>
    </border>
    <border>
      <left/>
      <right/>
      <top style="thin">
        <color theme="1"/>
      </top>
      <bottom style="thin">
        <color theme="1"/>
      </bottom>
    </border>
    <border>
      <left/>
      <right/>
      <top/>
      <bottom style="double"/>
    </border>
    <border>
      <left/>
      <right style="thin">
        <color theme="1"/>
      </right>
      <top/>
      <bottom/>
    </border>
    <border>
      <left style="thin"/>
      <right/>
      <top style="thin"/>
      <bottom style="double"/>
    </border>
    <border>
      <left style="thin"/>
      <right style="thin"/>
      <top style="thin"/>
      <bottom style="double"/>
    </border>
    <border>
      <left/>
      <right/>
      <top style="thin"/>
      <bottom style="double"/>
    </border>
    <border>
      <left style="thin">
        <color indexed="8"/>
      </left>
      <right style="thin">
        <color indexed="8"/>
      </right>
      <top style="medium">
        <color indexed="8"/>
      </top>
      <botto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medium">
        <color indexed="8"/>
      </bottom>
    </border>
    <border>
      <left style="thin">
        <color theme="1"/>
      </left>
      <right style="thin">
        <color theme="1"/>
      </right>
      <top style="thin">
        <color theme="1"/>
      </top>
      <bottom style="thin">
        <color theme="1"/>
      </bottom>
    </border>
    <border>
      <left style="thin"/>
      <right style="thin">
        <color indexed="8"/>
      </right>
      <top style="thin"/>
      <bottom style="thin">
        <color indexed="8"/>
      </bottom>
    </border>
    <border>
      <left style="thin">
        <color indexed="8"/>
      </left>
      <right style="thin">
        <color indexed="8"/>
      </right>
      <top/>
      <bottom style="thin"/>
    </border>
    <border>
      <left style="thin">
        <color indexed="8"/>
      </left>
      <right style="thin">
        <color indexed="8"/>
      </right>
      <top style="double">
        <color indexed="8"/>
      </top>
      <bottom/>
    </border>
    <border>
      <left style="thin"/>
      <right style="thin"/>
      <top style="thin">
        <color indexed="8"/>
      </top>
      <bottom style="thin"/>
    </border>
    <border>
      <left/>
      <right style="thin">
        <color indexed="8"/>
      </right>
      <top style="thin"/>
      <bottom/>
    </border>
    <border>
      <left style="thin"/>
      <right style="thin"/>
      <top/>
      <bottom style="thin">
        <color indexed="8"/>
      </bottom>
    </border>
    <border>
      <left style="thin"/>
      <right style="thin">
        <color indexed="8"/>
      </right>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double">
        <color indexed="8"/>
      </bottom>
    </border>
    <border>
      <left style="thin"/>
      <right style="thin">
        <color indexed="8"/>
      </right>
      <top style="thin">
        <color indexed="8"/>
      </top>
      <bottom style="double">
        <color indexed="8"/>
      </bottom>
    </border>
    <border>
      <left style="thin">
        <color indexed="8"/>
      </left>
      <right style="thin"/>
      <top style="thin">
        <color indexed="8"/>
      </top>
      <bottom style="medium">
        <color indexed="8"/>
      </bottom>
    </border>
    <border>
      <left style="thin"/>
      <right style="thin">
        <color indexed="8"/>
      </right>
      <top style="thin">
        <color indexed="8"/>
      </top>
      <bottom style="medium">
        <color indexed="8"/>
      </bottom>
    </border>
    <border>
      <left style="thin">
        <color indexed="8"/>
      </left>
      <right/>
      <top style="medium">
        <color indexed="8"/>
      </top>
      <bottom style="double">
        <color indexed="8"/>
      </bottom>
    </border>
    <border>
      <left/>
      <right style="thin">
        <color indexed="8"/>
      </right>
      <top style="medium">
        <color indexed="8"/>
      </top>
      <bottom style="double">
        <color indexed="8"/>
      </bottom>
    </border>
    <border>
      <left/>
      <right style="thin"/>
      <top style="thin"/>
      <bottom style="double"/>
    </border>
    <border>
      <left/>
      <right style="thin"/>
      <top style="thin">
        <color indexed="8"/>
      </top>
      <bottom/>
    </border>
    <border>
      <left/>
      <right/>
      <top style="double"/>
      <bottom/>
    </border>
  </borders>
  <cellStyleXfs count="73">
    <xf numFmtId="0" fontId="0" fillId="0" borderId="0" applyFont="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pplyFont="0" applyBorder="0">
      <alignment/>
      <protection/>
    </xf>
    <xf numFmtId="175" fontId="19" fillId="32" borderId="0">
      <alignment/>
      <protection/>
    </xf>
    <xf numFmtId="0" fontId="18" fillId="33" borderId="0">
      <alignment/>
      <protection/>
    </xf>
    <xf numFmtId="0" fontId="20" fillId="33" borderId="0">
      <alignment/>
      <protection/>
    </xf>
    <xf numFmtId="0" fontId="20" fillId="33" borderId="0">
      <alignment/>
      <protection/>
    </xf>
    <xf numFmtId="0" fontId="35" fillId="33" borderId="0">
      <alignment/>
      <protection/>
    </xf>
    <xf numFmtId="0" fontId="0" fillId="34"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753">
    <xf numFmtId="0" fontId="0" fillId="0" borderId="0" xfId="0" applyAlignment="1">
      <alignment/>
    </xf>
    <xf numFmtId="0" fontId="3" fillId="0" borderId="0" xfId="0" applyFont="1" applyAlignment="1">
      <alignment/>
    </xf>
    <xf numFmtId="0" fontId="4" fillId="0" borderId="0" xfId="0" applyFont="1" applyAlignment="1">
      <alignment/>
    </xf>
    <xf numFmtId="164" fontId="4" fillId="0" borderId="0" xfId="0" applyNumberFormat="1" applyFont="1" applyAlignment="1" applyProtection="1">
      <alignment horizontal="right"/>
      <protection/>
    </xf>
    <xf numFmtId="0" fontId="3" fillId="0" borderId="0" xfId="0" applyFont="1" applyBorder="1" applyAlignment="1">
      <alignment/>
    </xf>
    <xf numFmtId="0" fontId="18" fillId="33" borderId="0" xfId="63" applyNumberFormat="1">
      <alignment/>
      <protection/>
    </xf>
    <xf numFmtId="37" fontId="22" fillId="33" borderId="0" xfId="63" applyNumberFormat="1" applyFont="1" applyFill="1" applyAlignment="1" applyProtection="1">
      <alignment vertical="top"/>
      <protection/>
    </xf>
    <xf numFmtId="0" fontId="8" fillId="33" borderId="0" xfId="63" applyNumberFormat="1" applyFont="1" applyProtection="1">
      <alignment/>
      <protection/>
    </xf>
    <xf numFmtId="37" fontId="12" fillId="33" borderId="0" xfId="63" applyNumberFormat="1" applyFont="1" applyFill="1" applyAlignment="1" applyProtection="1">
      <alignment horizontal="right"/>
      <protection/>
    </xf>
    <xf numFmtId="37" fontId="12" fillId="33" borderId="0" xfId="63" applyNumberFormat="1" applyFont="1" applyFill="1" applyProtection="1">
      <alignment/>
      <protection/>
    </xf>
    <xf numFmtId="37" fontId="12" fillId="33" borderId="10" xfId="63" applyNumberFormat="1" applyFont="1" applyFill="1" applyBorder="1" applyProtection="1">
      <alignment/>
      <protection/>
    </xf>
    <xf numFmtId="0" fontId="6" fillId="33" borderId="0" xfId="65" applyNumberFormat="1" applyFont="1" applyProtection="1">
      <alignment/>
      <protection/>
    </xf>
    <xf numFmtId="37" fontId="13" fillId="33" borderId="0" xfId="65" applyNumberFormat="1" applyFont="1" applyFill="1" applyAlignment="1" applyProtection="1">
      <alignment horizontal="centerContinuous"/>
      <protection/>
    </xf>
    <xf numFmtId="37" fontId="14" fillId="33" borderId="0" xfId="65" applyNumberFormat="1" applyFont="1" applyFill="1" applyAlignment="1" applyProtection="1">
      <alignment horizontal="centerContinuous"/>
      <protection/>
    </xf>
    <xf numFmtId="0" fontId="20" fillId="33" borderId="0" xfId="65" applyNumberFormat="1">
      <alignment/>
      <protection/>
    </xf>
    <xf numFmtId="0" fontId="6" fillId="33" borderId="0" xfId="65" applyNumberFormat="1" applyFont="1" applyAlignment="1" applyProtection="1">
      <alignment horizontal="centerContinuous"/>
      <protection/>
    </xf>
    <xf numFmtId="37" fontId="14" fillId="33" borderId="0" xfId="65" applyNumberFormat="1" applyFont="1" applyFill="1" applyAlignment="1" applyProtection="1">
      <alignment/>
      <protection/>
    </xf>
    <xf numFmtId="37" fontId="14" fillId="33" borderId="0" xfId="65" applyNumberFormat="1" applyFont="1" applyFill="1" applyProtection="1">
      <alignment/>
      <protection/>
    </xf>
    <xf numFmtId="49" fontId="6" fillId="33" borderId="0" xfId="65" applyNumberFormat="1" applyFont="1" applyBorder="1" applyAlignment="1" applyProtection="1">
      <alignment horizontal="center"/>
      <protection/>
    </xf>
    <xf numFmtId="0" fontId="6" fillId="0" borderId="0" xfId="0" applyFont="1" applyAlignment="1" applyProtection="1">
      <alignment/>
      <protection/>
    </xf>
    <xf numFmtId="37" fontId="13" fillId="33" borderId="11" xfId="65" applyNumberFormat="1" applyFont="1" applyFill="1" applyBorder="1" applyProtection="1">
      <alignment/>
      <protection/>
    </xf>
    <xf numFmtId="0" fontId="6" fillId="33" borderId="12" xfId="65" applyNumberFormat="1" applyFont="1" applyBorder="1" applyProtection="1">
      <alignment/>
      <protection/>
    </xf>
    <xf numFmtId="37" fontId="13" fillId="33" borderId="11" xfId="65" applyNumberFormat="1" applyFont="1" applyFill="1" applyBorder="1" applyAlignment="1" applyProtection="1">
      <alignment horizontal="center"/>
      <protection/>
    </xf>
    <xf numFmtId="37" fontId="13" fillId="33" borderId="12" xfId="65" applyNumberFormat="1" applyFont="1" applyFill="1" applyBorder="1" applyAlignment="1" applyProtection="1">
      <alignment horizontal="center"/>
      <protection/>
    </xf>
    <xf numFmtId="37" fontId="13" fillId="33" borderId="13" xfId="65" applyNumberFormat="1" applyFont="1" applyFill="1" applyBorder="1" applyAlignment="1" applyProtection="1">
      <alignment horizontal="center"/>
      <protection/>
    </xf>
    <xf numFmtId="37" fontId="13" fillId="33" borderId="14" xfId="65" applyNumberFormat="1" applyFont="1" applyFill="1" applyBorder="1" applyProtection="1">
      <alignment/>
      <protection/>
    </xf>
    <xf numFmtId="0" fontId="6" fillId="33" borderId="15" xfId="65" applyNumberFormat="1" applyFont="1" applyBorder="1" applyProtection="1">
      <alignment/>
      <protection/>
    </xf>
    <xf numFmtId="37" fontId="13" fillId="33" borderId="16" xfId="65" applyNumberFormat="1" applyFont="1" applyFill="1" applyBorder="1" applyAlignment="1" applyProtection="1">
      <alignment horizontal="centerContinuous"/>
      <protection/>
    </xf>
    <xf numFmtId="37" fontId="13" fillId="33" borderId="17" xfId="65" applyNumberFormat="1" applyFont="1" applyFill="1" applyBorder="1" applyAlignment="1" applyProtection="1">
      <alignment horizontal="centerContinuous"/>
      <protection/>
    </xf>
    <xf numFmtId="37" fontId="13" fillId="33" borderId="18" xfId="65" applyNumberFormat="1" applyFont="1" applyFill="1" applyBorder="1" applyAlignment="1" applyProtection="1">
      <alignment horizontal="center"/>
      <protection/>
    </xf>
    <xf numFmtId="0" fontId="6" fillId="33" borderId="19" xfId="65" applyNumberFormat="1" applyFont="1" applyBorder="1" applyProtection="1">
      <alignment/>
      <protection/>
    </xf>
    <xf numFmtId="37" fontId="13" fillId="33" borderId="16" xfId="65" applyNumberFormat="1" applyFont="1" applyFill="1" applyBorder="1" applyProtection="1">
      <alignment/>
      <protection/>
    </xf>
    <xf numFmtId="0" fontId="6" fillId="33" borderId="17" xfId="65" applyNumberFormat="1" applyFont="1" applyBorder="1" applyProtection="1">
      <alignment/>
      <protection/>
    </xf>
    <xf numFmtId="37" fontId="13" fillId="33" borderId="16" xfId="65" applyNumberFormat="1" applyFont="1" applyFill="1" applyBorder="1" applyAlignment="1" applyProtection="1">
      <alignment horizontal="center"/>
      <protection/>
    </xf>
    <xf numFmtId="37" fontId="13" fillId="33" borderId="20" xfId="65" applyNumberFormat="1" applyFont="1" applyFill="1" applyBorder="1" applyAlignment="1" applyProtection="1">
      <alignment horizontal="center"/>
      <protection/>
    </xf>
    <xf numFmtId="37" fontId="14" fillId="33" borderId="18" xfId="65" applyNumberFormat="1" applyFont="1" applyFill="1" applyBorder="1" applyProtection="1">
      <alignment/>
      <protection/>
    </xf>
    <xf numFmtId="38" fontId="14" fillId="33" borderId="18" xfId="65" applyNumberFormat="1" applyFont="1" applyFill="1" applyBorder="1" applyProtection="1">
      <alignment/>
      <protection/>
    </xf>
    <xf numFmtId="37" fontId="13" fillId="33" borderId="0" xfId="65" applyNumberFormat="1" applyFont="1" applyFill="1" applyAlignment="1" applyProtection="1">
      <alignment/>
      <protection/>
    </xf>
    <xf numFmtId="37" fontId="14" fillId="33" borderId="0" xfId="65" applyNumberFormat="1" applyFont="1" applyFill="1" applyBorder="1" applyProtection="1">
      <alignment/>
      <protection/>
    </xf>
    <xf numFmtId="37" fontId="13" fillId="33" borderId="21" xfId="65" applyNumberFormat="1" applyFont="1" applyFill="1" applyBorder="1" applyAlignment="1" applyProtection="1">
      <alignment horizontal="centerContinuous"/>
      <protection/>
    </xf>
    <xf numFmtId="37" fontId="14" fillId="33" borderId="14" xfId="65" applyNumberFormat="1" applyFont="1" applyFill="1" applyBorder="1" applyProtection="1">
      <alignment/>
      <protection/>
    </xf>
    <xf numFmtId="37" fontId="14" fillId="33" borderId="0" xfId="65" applyNumberFormat="1" applyFont="1" applyFill="1" applyBorder="1" applyAlignment="1" applyProtection="1">
      <alignment horizontal="left"/>
      <protection/>
    </xf>
    <xf numFmtId="0" fontId="6" fillId="33" borderId="22" xfId="65" applyNumberFormat="1" applyFont="1" applyBorder="1" applyAlignment="1" applyProtection="1">
      <alignment horizontal="centerContinuous"/>
      <protection/>
    </xf>
    <xf numFmtId="0" fontId="6" fillId="33" borderId="23" xfId="65" applyNumberFormat="1" applyFont="1" applyBorder="1" applyAlignment="1" applyProtection="1">
      <alignment horizontal="centerContinuous"/>
      <protection/>
    </xf>
    <xf numFmtId="37" fontId="14" fillId="33" borderId="11" xfId="65" applyNumberFormat="1" applyFont="1" applyFill="1" applyBorder="1" applyProtection="1">
      <alignment/>
      <protection/>
    </xf>
    <xf numFmtId="37" fontId="14" fillId="33" borderId="24" xfId="65" applyNumberFormat="1" applyFont="1" applyFill="1" applyBorder="1" applyProtection="1">
      <alignment/>
      <protection/>
    </xf>
    <xf numFmtId="37" fontId="13" fillId="33" borderId="10" xfId="65" applyNumberFormat="1" applyFont="1" applyFill="1" applyBorder="1" applyAlignment="1" applyProtection="1">
      <alignment horizontal="centerContinuous"/>
      <protection/>
    </xf>
    <xf numFmtId="37" fontId="14" fillId="33" borderId="17" xfId="65" applyNumberFormat="1" applyFont="1" applyFill="1" applyBorder="1" applyAlignment="1" applyProtection="1">
      <alignment horizontal="centerContinuous"/>
      <protection/>
    </xf>
    <xf numFmtId="37" fontId="14" fillId="33" borderId="10" xfId="65" applyNumberFormat="1" applyFont="1" applyFill="1" applyBorder="1" applyProtection="1">
      <alignment/>
      <protection/>
    </xf>
    <xf numFmtId="37" fontId="14" fillId="33" borderId="17" xfId="65" applyNumberFormat="1" applyFont="1" applyFill="1" applyBorder="1" applyProtection="1">
      <alignment/>
      <protection/>
    </xf>
    <xf numFmtId="37" fontId="14" fillId="33" borderId="14" xfId="65" applyNumberFormat="1" applyFont="1" applyFill="1" applyBorder="1" applyAlignment="1" applyProtection="1">
      <alignment horizontal="left"/>
      <protection/>
    </xf>
    <xf numFmtId="37" fontId="14" fillId="33" borderId="10" xfId="65" applyNumberFormat="1" applyFont="1" applyFill="1" applyBorder="1" applyAlignment="1" applyProtection="1">
      <alignment horizontal="center"/>
      <protection/>
    </xf>
    <xf numFmtId="37" fontId="14" fillId="33" borderId="14" xfId="65" applyNumberFormat="1" applyFont="1" applyFill="1" applyBorder="1" applyAlignment="1" applyProtection="1">
      <alignment horizontal="center"/>
      <protection/>
    </xf>
    <xf numFmtId="37" fontId="14" fillId="33" borderId="0" xfId="65" applyNumberFormat="1" applyFont="1" applyFill="1" applyAlignment="1" applyProtection="1">
      <alignment horizontal="left"/>
      <protection/>
    </xf>
    <xf numFmtId="37" fontId="14" fillId="33" borderId="0" xfId="65" applyNumberFormat="1" applyFont="1" applyFill="1" applyAlignment="1" applyProtection="1">
      <alignment horizontal="center"/>
      <protection/>
    </xf>
    <xf numFmtId="37" fontId="14" fillId="33" borderId="22" xfId="65" applyNumberFormat="1" applyFont="1" applyFill="1" applyBorder="1" applyAlignment="1" applyProtection="1">
      <alignment horizontal="center"/>
      <protection/>
    </xf>
    <xf numFmtId="37" fontId="14" fillId="33" borderId="19" xfId="65" applyNumberFormat="1" applyFont="1" applyFill="1" applyBorder="1" applyProtection="1">
      <alignment/>
      <protection/>
    </xf>
    <xf numFmtId="37" fontId="14" fillId="33" borderId="19" xfId="65" applyNumberFormat="1" applyFont="1" applyFill="1" applyBorder="1" applyAlignment="1" applyProtection="1">
      <alignment horizontal="center"/>
      <protection/>
    </xf>
    <xf numFmtId="37" fontId="14" fillId="33" borderId="15" xfId="65" applyNumberFormat="1" applyFont="1" applyFill="1" applyBorder="1" applyAlignment="1" applyProtection="1">
      <alignment horizontal="center"/>
      <protection/>
    </xf>
    <xf numFmtId="37" fontId="14" fillId="33" borderId="19" xfId="65" applyNumberFormat="1" applyFont="1" applyFill="1" applyBorder="1" applyAlignment="1" applyProtection="1">
      <alignment horizontal="left"/>
      <protection/>
    </xf>
    <xf numFmtId="37" fontId="14" fillId="33" borderId="0" xfId="65" applyNumberFormat="1" applyFont="1" applyFill="1" applyBorder="1" applyAlignment="1" applyProtection="1">
      <alignment horizontal="right"/>
      <protection/>
    </xf>
    <xf numFmtId="0" fontId="6" fillId="33" borderId="25" xfId="65" applyNumberFormat="1" applyFont="1" applyBorder="1" applyAlignment="1" applyProtection="1">
      <alignment horizontal="center"/>
      <protection/>
    </xf>
    <xf numFmtId="37" fontId="14" fillId="33" borderId="26" xfId="65" applyNumberFormat="1" applyFont="1" applyFill="1" applyBorder="1" applyAlignment="1" applyProtection="1">
      <alignment horizontal="left"/>
      <protection/>
    </xf>
    <xf numFmtId="0" fontId="6" fillId="33" borderId="27" xfId="65" applyNumberFormat="1" applyFont="1" applyBorder="1" applyProtection="1">
      <alignment/>
      <protection/>
    </xf>
    <xf numFmtId="49" fontId="14" fillId="33" borderId="0" xfId="65" applyNumberFormat="1" applyFont="1" applyFill="1" applyBorder="1" applyAlignment="1" applyProtection="1">
      <alignment horizontal="centerContinuous"/>
      <protection/>
    </xf>
    <xf numFmtId="37" fontId="14" fillId="33" borderId="16" xfId="65" applyNumberFormat="1" applyFont="1" applyFill="1" applyBorder="1" applyAlignment="1" applyProtection="1">
      <alignment horizontal="left"/>
      <protection/>
    </xf>
    <xf numFmtId="0" fontId="6" fillId="33" borderId="0" xfId="65" applyNumberFormat="1" applyFont="1" applyBorder="1" applyProtection="1">
      <alignment/>
      <protection/>
    </xf>
    <xf numFmtId="3" fontId="14" fillId="33" borderId="0" xfId="65" applyNumberFormat="1" applyFont="1" applyFill="1" applyBorder="1" applyProtection="1">
      <alignment/>
      <protection/>
    </xf>
    <xf numFmtId="0" fontId="15" fillId="33" borderId="0" xfId="65" applyNumberFormat="1" applyFont="1" applyAlignment="1" applyProtection="1">
      <alignment horizontal="centerContinuous"/>
      <protection/>
    </xf>
    <xf numFmtId="0" fontId="6" fillId="33" borderId="0" xfId="65" applyNumberFormat="1" applyFont="1" applyAlignment="1" applyProtection="1">
      <alignment horizontal="right"/>
      <protection/>
    </xf>
    <xf numFmtId="0" fontId="20" fillId="33" borderId="0" xfId="65" applyNumberFormat="1" applyProtection="1">
      <alignment/>
      <protection/>
    </xf>
    <xf numFmtId="37" fontId="14" fillId="33" borderId="20" xfId="65" applyNumberFormat="1" applyFont="1" applyFill="1" applyBorder="1" applyAlignment="1" applyProtection="1">
      <alignment horizontal="right"/>
      <protection locked="0"/>
    </xf>
    <xf numFmtId="37" fontId="14" fillId="33" borderId="0" xfId="65" applyNumberFormat="1" applyFont="1" applyFill="1" applyAlignment="1" applyProtection="1">
      <alignment horizontal="right"/>
      <protection/>
    </xf>
    <xf numFmtId="37" fontId="14" fillId="33" borderId="20" xfId="65" applyNumberFormat="1" applyFont="1" applyFill="1" applyBorder="1" applyAlignment="1" applyProtection="1">
      <alignment horizontal="right"/>
      <protection/>
    </xf>
    <xf numFmtId="3" fontId="8" fillId="0" borderId="20" xfId="0" applyNumberFormat="1" applyFont="1" applyBorder="1" applyAlignment="1" applyProtection="1">
      <alignment/>
      <protection/>
    </xf>
    <xf numFmtId="3" fontId="8" fillId="0" borderId="13" xfId="0" applyNumberFormat="1" applyFont="1" applyBorder="1" applyAlignment="1" applyProtection="1">
      <alignment/>
      <protection/>
    </xf>
    <xf numFmtId="0" fontId="3" fillId="0" borderId="0" xfId="0" applyFont="1" applyAlignment="1" applyProtection="1">
      <alignment/>
      <protection locked="0"/>
    </xf>
    <xf numFmtId="0" fontId="8" fillId="0" borderId="13" xfId="0" applyFont="1" applyBorder="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9" fillId="0" borderId="0" xfId="0" applyFont="1" applyBorder="1" applyAlignment="1" applyProtection="1">
      <alignment horizontal="centerContinuous"/>
      <protection/>
    </xf>
    <xf numFmtId="0" fontId="9" fillId="0" borderId="0" xfId="0" applyFont="1" applyAlignment="1" applyProtection="1">
      <alignment/>
      <protection/>
    </xf>
    <xf numFmtId="0" fontId="10" fillId="0" borderId="0" xfId="0" applyFont="1" applyAlignment="1" applyProtection="1">
      <alignment horizontal="center"/>
      <protection/>
    </xf>
    <xf numFmtId="0" fontId="4" fillId="0" borderId="0" xfId="0" applyFont="1" applyAlignment="1" applyProtection="1">
      <alignment/>
      <protection/>
    </xf>
    <xf numFmtId="0" fontId="9" fillId="0" borderId="0" xfId="0" applyFont="1" applyAlignment="1" applyProtection="1">
      <alignment horizontal="centerContinuous"/>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13" xfId="0" applyFont="1" applyBorder="1" applyAlignment="1" applyProtection="1">
      <alignment horizontal="center"/>
      <protection/>
    </xf>
    <xf numFmtId="0" fontId="4" fillId="0" borderId="0" xfId="0" applyFont="1" applyAlignment="1" applyProtection="1">
      <alignment horizontal="centerContinuous"/>
      <protection/>
    </xf>
    <xf numFmtId="0" fontId="7" fillId="0" borderId="0" xfId="0" applyFont="1" applyAlignment="1" applyProtection="1">
      <alignment/>
      <protection/>
    </xf>
    <xf numFmtId="0" fontId="9" fillId="0" borderId="0" xfId="0" applyFont="1" applyAlignment="1" applyProtection="1">
      <alignment horizontal="left"/>
      <protection/>
    </xf>
    <xf numFmtId="0" fontId="11" fillId="0" borderId="0" xfId="0" applyFont="1" applyAlignment="1" applyProtection="1">
      <alignment/>
      <protection/>
    </xf>
    <xf numFmtId="0" fontId="4" fillId="0" borderId="0" xfId="0" applyFont="1" applyAlignment="1" applyProtection="1">
      <alignment horizontal="left" vertical="top"/>
      <protection/>
    </xf>
    <xf numFmtId="0" fontId="17" fillId="0" borderId="0" xfId="0" applyFont="1" applyAlignment="1" applyProtection="1">
      <alignment/>
      <protection/>
    </xf>
    <xf numFmtId="37" fontId="8" fillId="0" borderId="28" xfId="0" applyNumberFormat="1" applyFont="1" applyBorder="1" applyAlignment="1" applyProtection="1">
      <alignment horizontal="right"/>
      <protection locked="0"/>
    </xf>
    <xf numFmtId="0" fontId="4" fillId="0" borderId="0" xfId="0" applyFont="1" applyBorder="1" applyAlignment="1" applyProtection="1">
      <alignment/>
      <protection/>
    </xf>
    <xf numFmtId="0" fontId="3" fillId="0" borderId="0" xfId="0" applyFont="1" applyAlignment="1" applyProtection="1">
      <alignment horizontal="centerContinuous"/>
      <protection/>
    </xf>
    <xf numFmtId="0" fontId="8" fillId="0" borderId="11" xfId="0" applyFont="1" applyBorder="1" applyAlignment="1" applyProtection="1">
      <alignment/>
      <protection/>
    </xf>
    <xf numFmtId="0" fontId="8" fillId="0" borderId="24" xfId="0" applyFont="1" applyBorder="1" applyAlignment="1" applyProtection="1">
      <alignment/>
      <protection/>
    </xf>
    <xf numFmtId="0" fontId="8" fillId="0" borderId="13" xfId="0" applyFont="1" applyBorder="1" applyAlignment="1" applyProtection="1">
      <alignment horizontal="center"/>
      <protection/>
    </xf>
    <xf numFmtId="0" fontId="12" fillId="32" borderId="22" xfId="0" applyFont="1" applyFill="1" applyBorder="1" applyAlignment="1" applyProtection="1">
      <alignment horizontal="centerContinuous"/>
      <protection/>
    </xf>
    <xf numFmtId="0" fontId="8" fillId="0" borderId="14" xfId="0" applyFont="1" applyBorder="1" applyAlignment="1" applyProtection="1">
      <alignment/>
      <protection/>
    </xf>
    <xf numFmtId="0" fontId="8" fillId="0" borderId="0" xfId="0" applyFont="1" applyAlignment="1" applyProtection="1">
      <alignment/>
      <protection/>
    </xf>
    <xf numFmtId="0" fontId="8" fillId="0" borderId="18" xfId="0" applyFont="1" applyBorder="1" applyAlignment="1" applyProtection="1">
      <alignment horizontal="center"/>
      <protection/>
    </xf>
    <xf numFmtId="0" fontId="8" fillId="0" borderId="0" xfId="0" applyFont="1" applyAlignment="1" applyProtection="1">
      <alignment horizontal="center"/>
      <protection/>
    </xf>
    <xf numFmtId="0" fontId="8" fillId="0" borderId="18" xfId="0" applyFont="1" applyBorder="1" applyAlignment="1" applyProtection="1">
      <alignment/>
      <protection/>
    </xf>
    <xf numFmtId="0" fontId="3" fillId="0" borderId="16" xfId="0" applyFont="1" applyBorder="1" applyAlignment="1" applyProtection="1">
      <alignment/>
      <protection/>
    </xf>
    <xf numFmtId="0" fontId="3" fillId="0" borderId="10" xfId="0" applyFont="1" applyBorder="1" applyAlignment="1" applyProtection="1">
      <alignment/>
      <protection/>
    </xf>
    <xf numFmtId="0" fontId="8" fillId="0" borderId="10" xfId="0" applyFont="1" applyBorder="1" applyAlignment="1" applyProtection="1">
      <alignment/>
      <protection/>
    </xf>
    <xf numFmtId="0" fontId="8" fillId="0" borderId="20" xfId="0" applyFont="1" applyBorder="1" applyAlignment="1" applyProtection="1">
      <alignment horizontal="center"/>
      <protection/>
    </xf>
    <xf numFmtId="0" fontId="8" fillId="0" borderId="10" xfId="0" applyFont="1" applyBorder="1" applyAlignment="1" applyProtection="1">
      <alignment horizontal="center"/>
      <protection/>
    </xf>
    <xf numFmtId="37" fontId="8" fillId="0" borderId="28" xfId="0" applyNumberFormat="1" applyFont="1" applyBorder="1" applyAlignment="1" applyProtection="1">
      <alignment horizontal="right"/>
      <protection/>
    </xf>
    <xf numFmtId="49" fontId="8" fillId="0" borderId="0" xfId="0" applyNumberFormat="1" applyFont="1" applyBorder="1" applyAlignment="1" applyProtection="1">
      <alignment horizontal="right"/>
      <protection/>
    </xf>
    <xf numFmtId="0" fontId="9" fillId="0" borderId="14" xfId="0" applyFont="1" applyBorder="1" applyAlignment="1" applyProtection="1">
      <alignment vertical="center"/>
      <protection/>
    </xf>
    <xf numFmtId="49" fontId="8" fillId="0" borderId="0" xfId="0" applyNumberFormat="1" applyFont="1" applyAlignment="1" applyProtection="1">
      <alignment horizontal="right"/>
      <protection/>
    </xf>
    <xf numFmtId="37" fontId="8" fillId="0" borderId="13" xfId="0" applyNumberFormat="1" applyFont="1" applyBorder="1" applyAlignment="1" applyProtection="1">
      <alignment horizontal="right"/>
      <protection/>
    </xf>
    <xf numFmtId="49" fontId="8" fillId="0" borderId="0" xfId="0" applyNumberFormat="1" applyFont="1" applyAlignment="1" applyProtection="1" quotePrefix="1">
      <alignment horizontal="right"/>
      <protection/>
    </xf>
    <xf numFmtId="0" fontId="8" fillId="0" borderId="16" xfId="0" applyFont="1" applyBorder="1" applyAlignment="1" applyProtection="1">
      <alignment/>
      <protection/>
    </xf>
    <xf numFmtId="49" fontId="8" fillId="0" borderId="10" xfId="0" applyNumberFormat="1" applyFont="1" applyBorder="1" applyAlignment="1" applyProtection="1" quotePrefix="1">
      <alignment horizontal="right"/>
      <protection/>
    </xf>
    <xf numFmtId="37" fontId="8" fillId="35" borderId="28" xfId="0" applyNumberFormat="1" applyFont="1" applyFill="1" applyBorder="1" applyAlignment="1" applyProtection="1">
      <alignment horizontal="right"/>
      <protection/>
    </xf>
    <xf numFmtId="0" fontId="9" fillId="0" borderId="21" xfId="0" applyFont="1" applyBorder="1" applyAlignment="1" applyProtection="1">
      <alignment vertical="center"/>
      <protection/>
    </xf>
    <xf numFmtId="0" fontId="9" fillId="0" borderId="22" xfId="0" applyFont="1" applyBorder="1" applyAlignment="1" applyProtection="1">
      <alignment/>
      <protection/>
    </xf>
    <xf numFmtId="49" fontId="8" fillId="0" borderId="0" xfId="0" applyNumberFormat="1" applyFont="1" applyAlignment="1" applyProtection="1">
      <alignment/>
      <protection/>
    </xf>
    <xf numFmtId="49" fontId="3" fillId="0" borderId="0" xfId="0" applyNumberFormat="1" applyFont="1" applyAlignment="1" applyProtection="1">
      <alignment/>
      <protection/>
    </xf>
    <xf numFmtId="0" fontId="8" fillId="0" borderId="0" xfId="0" applyFont="1" applyAlignment="1" applyProtection="1">
      <alignment horizontal="left"/>
      <protection/>
    </xf>
    <xf numFmtId="0" fontId="8" fillId="0" borderId="0" xfId="0" applyFont="1" applyAlignment="1" applyProtection="1">
      <alignment horizontal="right"/>
      <protection/>
    </xf>
    <xf numFmtId="37" fontId="22" fillId="32" borderId="0" xfId="63" applyNumberFormat="1" applyFont="1" applyFill="1" applyAlignment="1" applyProtection="1">
      <alignment horizontal="left"/>
      <protection/>
    </xf>
    <xf numFmtId="37" fontId="12" fillId="33" borderId="10" xfId="63" applyNumberFormat="1" applyFont="1" applyFill="1" applyBorder="1" applyAlignment="1" applyProtection="1">
      <alignment horizontal="center"/>
      <protection/>
    </xf>
    <xf numFmtId="37" fontId="22" fillId="33" borderId="0" xfId="63" applyNumberFormat="1" applyFont="1" applyFill="1" applyAlignment="1" applyProtection="1">
      <alignment horizontal="center"/>
      <protection/>
    </xf>
    <xf numFmtId="37" fontId="22" fillId="33" borderId="0" xfId="63" applyNumberFormat="1" applyFont="1" applyFill="1" applyAlignment="1" applyProtection="1">
      <alignment horizontal="right"/>
      <protection/>
    </xf>
    <xf numFmtId="0" fontId="12" fillId="33" borderId="0" xfId="63" applyNumberFormat="1" applyFont="1" applyFill="1" applyProtection="1">
      <alignment/>
      <protection/>
    </xf>
    <xf numFmtId="37" fontId="22" fillId="33" borderId="0" xfId="63" applyNumberFormat="1" applyFont="1" applyFill="1" applyAlignment="1" applyProtection="1">
      <alignment horizontal="centerContinuous"/>
      <protection/>
    </xf>
    <xf numFmtId="37" fontId="12" fillId="33" borderId="0" xfId="63" applyNumberFormat="1" applyFont="1" applyFill="1" applyAlignment="1" applyProtection="1">
      <alignment horizontal="centerContinuous"/>
      <protection/>
    </xf>
    <xf numFmtId="0" fontId="8" fillId="33" borderId="0" xfId="63" applyNumberFormat="1" applyFont="1" applyAlignment="1" applyProtection="1">
      <alignment horizontal="centerContinuous"/>
      <protection/>
    </xf>
    <xf numFmtId="37" fontId="12" fillId="33" borderId="0" xfId="63" applyNumberFormat="1" applyFont="1" applyFill="1" applyAlignment="1" applyProtection="1">
      <alignment/>
      <protection/>
    </xf>
    <xf numFmtId="37" fontId="13" fillId="33" borderId="0" xfId="63" applyNumberFormat="1" applyFont="1" applyFill="1" applyAlignment="1" applyProtection="1">
      <alignment horizontal="center"/>
      <protection/>
    </xf>
    <xf numFmtId="0" fontId="13" fillId="33" borderId="0" xfId="63" applyNumberFormat="1" applyFont="1" applyAlignment="1" applyProtection="1">
      <alignment horizontal="center"/>
      <protection/>
    </xf>
    <xf numFmtId="37" fontId="23" fillId="33" borderId="0" xfId="63" applyNumberFormat="1" applyFont="1" applyFill="1" applyAlignment="1" applyProtection="1">
      <alignment horizontal="center"/>
      <protection/>
    </xf>
    <xf numFmtId="37" fontId="13" fillId="33" borderId="10" xfId="63" applyNumberFormat="1" applyFont="1" applyFill="1" applyBorder="1" applyAlignment="1" applyProtection="1">
      <alignment horizontal="center"/>
      <protection/>
    </xf>
    <xf numFmtId="0" fontId="13" fillId="33" borderId="10" xfId="63" applyNumberFormat="1" applyFont="1" applyBorder="1" applyAlignment="1" applyProtection="1">
      <alignment horizontal="center"/>
      <protection/>
    </xf>
    <xf numFmtId="1" fontId="12" fillId="33" borderId="0" xfId="63" applyNumberFormat="1" applyFont="1" applyFill="1" applyAlignment="1" applyProtection="1">
      <alignment horizontal="left"/>
      <protection/>
    </xf>
    <xf numFmtId="37" fontId="12" fillId="33" borderId="0" xfId="63" applyNumberFormat="1" applyFont="1" applyFill="1" applyAlignment="1" applyProtection="1">
      <alignment horizontal="left"/>
      <protection/>
    </xf>
    <xf numFmtId="8" fontId="12" fillId="33" borderId="0" xfId="63" applyNumberFormat="1" applyFont="1" applyFill="1" applyAlignment="1" applyProtection="1">
      <alignment horizontal="right"/>
      <protection/>
    </xf>
    <xf numFmtId="1" fontId="12" fillId="33" borderId="0" xfId="63" applyNumberFormat="1" applyFont="1" applyFill="1" applyAlignment="1" applyProtection="1">
      <alignment horizontal="right"/>
      <protection/>
    </xf>
    <xf numFmtId="37" fontId="8" fillId="33" borderId="0" xfId="63" applyNumberFormat="1" applyFont="1" applyProtection="1">
      <alignment/>
      <protection/>
    </xf>
    <xf numFmtId="1" fontId="12" fillId="33" borderId="0" xfId="63" applyNumberFormat="1" applyFont="1" applyFill="1" applyProtection="1">
      <alignment/>
      <protection/>
    </xf>
    <xf numFmtId="37" fontId="12" fillId="33" borderId="0" xfId="63" applyNumberFormat="1" applyFont="1" applyFill="1" applyAlignment="1" applyProtection="1">
      <alignment horizontal="left" wrapText="1"/>
      <protection/>
    </xf>
    <xf numFmtId="1" fontId="12" fillId="33" borderId="0" xfId="63" applyNumberFormat="1" applyFont="1" applyFill="1" applyAlignment="1" applyProtection="1">
      <alignment horizontal="right" vertical="top"/>
      <protection/>
    </xf>
    <xf numFmtId="37" fontId="12" fillId="33" borderId="10" xfId="63" applyNumberFormat="1" applyFont="1" applyFill="1" applyBorder="1" applyProtection="1">
      <alignment/>
      <protection locked="0"/>
    </xf>
    <xf numFmtId="37" fontId="8" fillId="33" borderId="10" xfId="63" applyNumberFormat="1" applyFont="1" applyBorder="1" applyProtection="1">
      <alignment/>
      <protection locked="0"/>
    </xf>
    <xf numFmtId="0" fontId="18" fillId="33" borderId="0" xfId="63" applyNumberFormat="1" applyProtection="1">
      <alignment/>
      <protection locked="0"/>
    </xf>
    <xf numFmtId="0" fontId="18" fillId="33" borderId="0" xfId="63" applyNumberFormat="1" applyProtection="1">
      <alignment/>
      <protection/>
    </xf>
    <xf numFmtId="0" fontId="16" fillId="0" borderId="0" xfId="0" applyFont="1" applyAlignment="1" applyProtection="1">
      <alignment/>
      <protection/>
    </xf>
    <xf numFmtId="0" fontId="3" fillId="0" borderId="24" xfId="0" applyFont="1" applyBorder="1" applyAlignment="1" applyProtection="1">
      <alignment/>
      <protection/>
    </xf>
    <xf numFmtId="0" fontId="8" fillId="0" borderId="11" xfId="0" applyFont="1" applyBorder="1" applyAlignment="1" applyProtection="1">
      <alignment horizontal="centerContinuous"/>
      <protection/>
    </xf>
    <xf numFmtId="0" fontId="0" fillId="0" borderId="12" xfId="0" applyBorder="1" applyAlignment="1" applyProtection="1">
      <alignment horizontal="centerContinuous"/>
      <protection/>
    </xf>
    <xf numFmtId="0" fontId="8" fillId="0" borderId="11" xfId="0" applyFont="1" applyBorder="1" applyAlignment="1" applyProtection="1">
      <alignment horizontal="center"/>
      <protection/>
    </xf>
    <xf numFmtId="0" fontId="8" fillId="0" borderId="22" xfId="0" applyFont="1" applyBorder="1" applyAlignment="1" applyProtection="1">
      <alignment horizontal="centerContinuous"/>
      <protection/>
    </xf>
    <xf numFmtId="0" fontId="8" fillId="0" borderId="16" xfId="0" applyFont="1" applyBorder="1" applyAlignment="1" applyProtection="1">
      <alignment horizontal="centerContinuous"/>
      <protection/>
    </xf>
    <xf numFmtId="0" fontId="0" fillId="0" borderId="17" xfId="0" applyBorder="1" applyAlignment="1" applyProtection="1">
      <alignment horizontal="centerContinuous"/>
      <protection/>
    </xf>
    <xf numFmtId="0" fontId="8" fillId="0" borderId="14" xfId="0" applyFont="1" applyBorder="1" applyAlignment="1" applyProtection="1">
      <alignment horizontal="center"/>
      <protection/>
    </xf>
    <xf numFmtId="0" fontId="8" fillId="0" borderId="16" xfId="0" applyFont="1" applyBorder="1" applyAlignment="1" applyProtection="1">
      <alignment horizontal="center"/>
      <protection/>
    </xf>
    <xf numFmtId="0" fontId="10" fillId="0" borderId="0" xfId="0" applyFont="1" applyAlignment="1" applyProtection="1">
      <alignment/>
      <protection/>
    </xf>
    <xf numFmtId="3" fontId="8" fillId="0" borderId="28" xfId="0" applyNumberFormat="1" applyFont="1" applyBorder="1" applyAlignment="1" applyProtection="1">
      <alignment horizontal="right"/>
      <protection/>
    </xf>
    <xf numFmtId="0" fontId="0" fillId="0" borderId="0" xfId="0" applyAlignment="1" applyProtection="1">
      <alignment/>
      <protection/>
    </xf>
    <xf numFmtId="3" fontId="8" fillId="0" borderId="28" xfId="0" applyNumberFormat="1" applyFont="1" applyBorder="1" applyAlignment="1" applyProtection="1">
      <alignment/>
      <protection locked="0"/>
    </xf>
    <xf numFmtId="0" fontId="8" fillId="0" borderId="0" xfId="0" applyFont="1" applyBorder="1" applyAlignment="1" applyProtection="1">
      <alignment/>
      <protection/>
    </xf>
    <xf numFmtId="49" fontId="8" fillId="0" borderId="15" xfId="0" applyNumberFormat="1" applyFont="1" applyBorder="1" applyAlignment="1" applyProtection="1">
      <alignment horizontal="right"/>
      <protection/>
    </xf>
    <xf numFmtId="37" fontId="13" fillId="33" borderId="0" xfId="64" applyNumberFormat="1" applyFont="1" applyFill="1" applyAlignment="1" applyProtection="1">
      <alignment horizontal="centerContinuous"/>
      <protection/>
    </xf>
    <xf numFmtId="37" fontId="21" fillId="33" borderId="0" xfId="64" applyNumberFormat="1" applyFont="1" applyFill="1" applyAlignment="1" applyProtection="1">
      <alignment horizontal="centerContinuous"/>
      <protection/>
    </xf>
    <xf numFmtId="37" fontId="13" fillId="33" borderId="0" xfId="64" applyNumberFormat="1" applyFont="1" applyFill="1" applyAlignment="1" applyProtection="1">
      <alignment horizontal="center"/>
      <protection/>
    </xf>
    <xf numFmtId="37" fontId="13" fillId="33" borderId="0" xfId="64" applyNumberFormat="1" applyFont="1" applyFill="1" applyProtection="1">
      <alignment/>
      <protection/>
    </xf>
    <xf numFmtId="0" fontId="6" fillId="33" borderId="0" xfId="64" applyNumberFormat="1" applyFont="1" applyProtection="1">
      <alignment/>
      <protection/>
    </xf>
    <xf numFmtId="37" fontId="14" fillId="33" borderId="0" xfId="64" applyNumberFormat="1" applyFont="1" applyFill="1" applyProtection="1">
      <alignment/>
      <protection/>
    </xf>
    <xf numFmtId="37" fontId="14" fillId="33" borderId="0" xfId="64" applyNumberFormat="1" applyFont="1" applyFill="1" applyAlignment="1" applyProtection="1">
      <alignment horizontal="right"/>
      <protection/>
    </xf>
    <xf numFmtId="0" fontId="6" fillId="33" borderId="0" xfId="64" applyNumberFormat="1" applyFont="1" applyAlignment="1" applyProtection="1">
      <alignment horizontal="centerContinuous"/>
      <protection/>
    </xf>
    <xf numFmtId="0" fontId="6" fillId="33" borderId="0" xfId="64" applyNumberFormat="1" applyFont="1" applyAlignment="1" applyProtection="1">
      <alignment/>
      <protection/>
    </xf>
    <xf numFmtId="37" fontId="13" fillId="33" borderId="24" xfId="64" applyNumberFormat="1" applyFont="1" applyFill="1" applyBorder="1" applyProtection="1">
      <alignment/>
      <protection/>
    </xf>
    <xf numFmtId="37" fontId="13" fillId="33" borderId="11" xfId="64" applyNumberFormat="1" applyFont="1" applyFill="1" applyBorder="1" applyProtection="1">
      <alignment/>
      <protection/>
    </xf>
    <xf numFmtId="0" fontId="6" fillId="33" borderId="29" xfId="64" applyNumberFormat="1" applyFont="1" applyBorder="1" applyProtection="1">
      <alignment/>
      <protection/>
    </xf>
    <xf numFmtId="0" fontId="6" fillId="33" borderId="30" xfId="64" applyNumberFormat="1" applyFont="1" applyBorder="1" applyProtection="1">
      <alignment/>
      <protection/>
    </xf>
    <xf numFmtId="37" fontId="13" fillId="33" borderId="14" xfId="64" applyNumberFormat="1" applyFont="1" applyFill="1" applyBorder="1" applyProtection="1">
      <alignment/>
      <protection/>
    </xf>
    <xf numFmtId="0" fontId="6" fillId="33" borderId="31" xfId="64" applyNumberFormat="1" applyFont="1" applyBorder="1" applyProtection="1">
      <alignment/>
      <protection/>
    </xf>
    <xf numFmtId="37" fontId="13" fillId="33" borderId="14" xfId="64" applyNumberFormat="1" applyFont="1" applyFill="1" applyBorder="1" applyAlignment="1" applyProtection="1">
      <alignment horizontal="centerContinuous"/>
      <protection/>
    </xf>
    <xf numFmtId="37" fontId="13" fillId="33" borderId="16" xfId="64" applyNumberFormat="1" applyFont="1" applyFill="1" applyBorder="1" applyAlignment="1" applyProtection="1">
      <alignment horizontal="centerContinuous"/>
      <protection/>
    </xf>
    <xf numFmtId="37" fontId="13" fillId="33" borderId="0" xfId="64" applyNumberFormat="1" applyFont="1" applyFill="1" applyBorder="1" applyAlignment="1" applyProtection="1">
      <alignment horizontal="centerContinuous"/>
      <protection/>
    </xf>
    <xf numFmtId="0" fontId="6" fillId="33" borderId="0" xfId="64" applyNumberFormat="1" applyFont="1" applyBorder="1" applyProtection="1">
      <alignment/>
      <protection/>
    </xf>
    <xf numFmtId="0" fontId="6" fillId="33" borderId="0" xfId="63" applyNumberFormat="1" applyFont="1" applyProtection="1">
      <alignment/>
      <protection/>
    </xf>
    <xf numFmtId="37" fontId="13" fillId="33" borderId="11" xfId="64" applyNumberFormat="1" applyFont="1" applyFill="1" applyBorder="1" applyAlignment="1" applyProtection="1">
      <alignment horizontal="left"/>
      <protection/>
    </xf>
    <xf numFmtId="37" fontId="13" fillId="33" borderId="24" xfId="64" applyNumberFormat="1" applyFont="1" applyFill="1" applyBorder="1" applyAlignment="1" applyProtection="1">
      <alignment/>
      <protection/>
    </xf>
    <xf numFmtId="0" fontId="6" fillId="33" borderId="24" xfId="64" applyNumberFormat="1" applyFont="1" applyBorder="1" applyAlignment="1" applyProtection="1">
      <alignment/>
      <protection/>
    </xf>
    <xf numFmtId="0" fontId="6" fillId="33" borderId="29" xfId="64" applyNumberFormat="1" applyFont="1" applyBorder="1" applyAlignment="1" applyProtection="1">
      <alignment/>
      <protection/>
    </xf>
    <xf numFmtId="37" fontId="13" fillId="33" borderId="14" xfId="64" applyNumberFormat="1" applyFont="1" applyFill="1" applyBorder="1" applyAlignment="1" applyProtection="1">
      <alignment horizontal="left"/>
      <protection/>
    </xf>
    <xf numFmtId="37" fontId="13" fillId="33" borderId="0" xfId="64" applyNumberFormat="1" applyFont="1" applyFill="1" applyBorder="1" applyAlignment="1" applyProtection="1">
      <alignment/>
      <protection/>
    </xf>
    <xf numFmtId="0" fontId="6" fillId="33" borderId="0" xfId="64" applyNumberFormat="1" applyFont="1" applyBorder="1" applyAlignment="1" applyProtection="1">
      <alignment/>
      <protection/>
    </xf>
    <xf numFmtId="0" fontId="6" fillId="33" borderId="31" xfId="63" applyNumberFormat="1" applyFont="1" applyBorder="1" applyAlignment="1" applyProtection="1">
      <alignment/>
      <protection/>
    </xf>
    <xf numFmtId="0" fontId="20" fillId="33" borderId="0" xfId="64" applyNumberFormat="1" applyProtection="1">
      <alignment/>
      <protection/>
    </xf>
    <xf numFmtId="37" fontId="13" fillId="33" borderId="14" xfId="64" applyNumberFormat="1" applyFont="1" applyFill="1" applyBorder="1" applyAlignment="1" applyProtection="1">
      <alignment horizontal="right"/>
      <protection/>
    </xf>
    <xf numFmtId="37" fontId="13" fillId="33" borderId="0" xfId="64" applyNumberFormat="1" applyFont="1" applyFill="1" applyAlignment="1" applyProtection="1">
      <alignment horizontal="right"/>
      <protection/>
    </xf>
    <xf numFmtId="0" fontId="15" fillId="33" borderId="0" xfId="64" applyNumberFormat="1" applyFont="1" applyAlignment="1" applyProtection="1">
      <alignment horizontal="centerContinuous"/>
      <protection/>
    </xf>
    <xf numFmtId="37" fontId="13" fillId="33" borderId="32" xfId="64" applyNumberFormat="1" applyFont="1" applyFill="1" applyBorder="1" applyAlignment="1" applyProtection="1">
      <alignment horizontal="centerContinuous"/>
      <protection/>
    </xf>
    <xf numFmtId="0" fontId="6" fillId="33" borderId="29" xfId="64" applyNumberFormat="1" applyFont="1" applyBorder="1" applyAlignment="1" applyProtection="1">
      <alignment horizontal="centerContinuous"/>
      <protection/>
    </xf>
    <xf numFmtId="37" fontId="13" fillId="33" borderId="33" xfId="64" applyNumberFormat="1" applyFont="1" applyFill="1" applyBorder="1" applyAlignment="1" applyProtection="1">
      <alignment horizontal="centerContinuous"/>
      <protection/>
    </xf>
    <xf numFmtId="37" fontId="13" fillId="33" borderId="34" xfId="64" applyNumberFormat="1" applyFont="1" applyFill="1" applyBorder="1" applyAlignment="1" applyProtection="1">
      <alignment horizontal="centerContinuous"/>
      <protection/>
    </xf>
    <xf numFmtId="37" fontId="13" fillId="33" borderId="19" xfId="64" applyNumberFormat="1" applyFont="1" applyFill="1" applyBorder="1" applyProtection="1">
      <alignment/>
      <protection/>
    </xf>
    <xf numFmtId="37" fontId="13" fillId="33" borderId="15" xfId="64" applyNumberFormat="1" applyFont="1" applyFill="1" applyBorder="1" applyProtection="1">
      <alignment/>
      <protection/>
    </xf>
    <xf numFmtId="37" fontId="13" fillId="33" borderId="12" xfId="64" applyNumberFormat="1" applyFont="1" applyFill="1" applyBorder="1" applyProtection="1">
      <alignment/>
      <protection/>
    </xf>
    <xf numFmtId="37" fontId="13" fillId="33" borderId="12" xfId="64" applyNumberFormat="1" applyFont="1" applyFill="1" applyBorder="1" applyAlignment="1" applyProtection="1">
      <alignment horizontal="centerContinuous"/>
      <protection/>
    </xf>
    <xf numFmtId="37" fontId="13" fillId="33" borderId="11" xfId="64" applyNumberFormat="1" applyFont="1" applyFill="1" applyBorder="1" applyAlignment="1" applyProtection="1">
      <alignment horizontal="centerContinuous"/>
      <protection/>
    </xf>
    <xf numFmtId="37" fontId="13" fillId="33" borderId="13" xfId="64" applyNumberFormat="1" applyFont="1" applyFill="1" applyBorder="1" applyAlignment="1" applyProtection="1">
      <alignment horizontal="center"/>
      <protection/>
    </xf>
    <xf numFmtId="37" fontId="13" fillId="33" borderId="17" xfId="64" applyNumberFormat="1" applyFont="1" applyFill="1" applyBorder="1" applyAlignment="1" applyProtection="1">
      <alignment horizontal="centerContinuous"/>
      <protection/>
    </xf>
    <xf numFmtId="37" fontId="13" fillId="33" borderId="18" xfId="64" applyNumberFormat="1" applyFont="1" applyFill="1" applyBorder="1" applyAlignment="1" applyProtection="1">
      <alignment horizontal="center"/>
      <protection/>
    </xf>
    <xf numFmtId="37" fontId="13" fillId="33" borderId="20" xfId="64" applyNumberFormat="1" applyFont="1" applyFill="1" applyBorder="1" applyProtection="1">
      <alignment/>
      <protection/>
    </xf>
    <xf numFmtId="0" fontId="15" fillId="33" borderId="19" xfId="63" applyFont="1" applyBorder="1" applyProtection="1">
      <alignment/>
      <protection/>
    </xf>
    <xf numFmtId="37" fontId="14" fillId="33" borderId="20" xfId="64" applyNumberFormat="1" applyFont="1" applyFill="1" applyBorder="1" applyProtection="1">
      <alignment/>
      <protection/>
    </xf>
    <xf numFmtId="37" fontId="13" fillId="33" borderId="0" xfId="64" applyNumberFormat="1" applyFont="1" applyFill="1" applyAlignment="1" applyProtection="1">
      <alignment horizontal="left"/>
      <protection/>
    </xf>
    <xf numFmtId="37" fontId="14" fillId="33" borderId="28" xfId="64" applyNumberFormat="1" applyFont="1" applyFill="1" applyBorder="1" applyProtection="1">
      <alignment/>
      <protection/>
    </xf>
    <xf numFmtId="0" fontId="15" fillId="33" borderId="19" xfId="64" applyNumberFormat="1" applyFont="1" applyBorder="1" applyProtection="1">
      <alignment/>
      <protection/>
    </xf>
    <xf numFmtId="0" fontId="15" fillId="33" borderId="0" xfId="64" applyNumberFormat="1" applyFont="1" applyProtection="1">
      <alignment/>
      <protection/>
    </xf>
    <xf numFmtId="37" fontId="6" fillId="33" borderId="28" xfId="64" applyNumberFormat="1" applyFont="1" applyBorder="1" applyProtection="1">
      <alignment/>
      <protection/>
    </xf>
    <xf numFmtId="0" fontId="6" fillId="33" borderId="35" xfId="64" applyNumberFormat="1" applyFont="1" applyBorder="1" applyProtection="1">
      <alignment/>
      <protection/>
    </xf>
    <xf numFmtId="0" fontId="3" fillId="0" borderId="0" xfId="0" applyFont="1" applyAlignment="1" applyProtection="1">
      <alignment/>
      <protection/>
    </xf>
    <xf numFmtId="164" fontId="22" fillId="0" borderId="0" xfId="0" applyNumberFormat="1" applyFont="1" applyAlignment="1" applyProtection="1">
      <alignment horizontal="centerContinuous"/>
      <protection/>
    </xf>
    <xf numFmtId="164" fontId="22" fillId="0" borderId="0" xfId="0" applyNumberFormat="1" applyFont="1" applyAlignment="1" applyProtection="1">
      <alignment/>
      <protection/>
    </xf>
    <xf numFmtId="164" fontId="12" fillId="0" borderId="0" xfId="0" applyNumberFormat="1" applyFont="1" applyAlignment="1" applyProtection="1">
      <alignment/>
      <protection/>
    </xf>
    <xf numFmtId="0" fontId="22"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right"/>
      <protection/>
    </xf>
    <xf numFmtId="0" fontId="12" fillId="0" borderId="0" xfId="0" applyFont="1" applyAlignment="1" applyProtection="1">
      <alignment horizontal="left"/>
      <protection/>
    </xf>
    <xf numFmtId="164" fontId="12" fillId="0" borderId="0" xfId="0" applyNumberFormat="1" applyFont="1" applyAlignment="1" applyProtection="1">
      <alignment horizontal="centerContinuous"/>
      <protection/>
    </xf>
    <xf numFmtId="0" fontId="12" fillId="0" borderId="0" xfId="0" applyFont="1" applyAlignment="1" applyProtection="1">
      <alignment horizontal="centerContinuous"/>
      <protection/>
    </xf>
    <xf numFmtId="0" fontId="22" fillId="0" borderId="0" xfId="0" applyFont="1" applyAlignment="1" applyProtection="1">
      <alignment horizontal="centerContinuous"/>
      <protection/>
    </xf>
    <xf numFmtId="0" fontId="12" fillId="0" borderId="11" xfId="0" applyFont="1" applyBorder="1" applyAlignment="1" applyProtection="1">
      <alignment/>
      <protection/>
    </xf>
    <xf numFmtId="0" fontId="12" fillId="0" borderId="12" xfId="0" applyFont="1" applyBorder="1" applyAlignment="1" applyProtection="1">
      <alignment horizontal="centerContinuous"/>
      <protection/>
    </xf>
    <xf numFmtId="0" fontId="12" fillId="0" borderId="11" xfId="0" applyFont="1" applyBorder="1" applyAlignment="1" applyProtection="1">
      <alignment horizontal="centerContinuous"/>
      <protection/>
    </xf>
    <xf numFmtId="0" fontId="22" fillId="0" borderId="16" xfId="0" applyFont="1" applyBorder="1" applyAlignment="1" applyProtection="1">
      <alignment horizontal="centerContinuous"/>
      <protection/>
    </xf>
    <xf numFmtId="0" fontId="12" fillId="0" borderId="17" xfId="0" applyFont="1" applyBorder="1" applyAlignment="1" applyProtection="1">
      <alignment horizontal="centerContinuous"/>
      <protection/>
    </xf>
    <xf numFmtId="0" fontId="12" fillId="0" borderId="20" xfId="0" applyFont="1" applyBorder="1" applyAlignment="1" applyProtection="1">
      <alignment horizontal="center"/>
      <protection/>
    </xf>
    <xf numFmtId="164" fontId="8" fillId="0" borderId="0" xfId="0" applyNumberFormat="1" applyFont="1" applyAlignment="1" applyProtection="1">
      <alignment horizontal="right"/>
      <protection/>
    </xf>
    <xf numFmtId="0" fontId="8" fillId="0" borderId="0" xfId="0" applyFont="1" applyAlignment="1" applyProtection="1" quotePrefix="1">
      <alignment horizontal="right"/>
      <protection/>
    </xf>
    <xf numFmtId="37" fontId="13" fillId="33" borderId="0" xfId="65" applyNumberFormat="1" applyFont="1" applyFill="1" applyAlignment="1" applyProtection="1">
      <alignment horizontal="right"/>
      <protection/>
    </xf>
    <xf numFmtId="165" fontId="8" fillId="0" borderId="28" xfId="0" applyNumberFormat="1" applyFont="1" applyBorder="1" applyAlignment="1" applyProtection="1">
      <alignment horizontal="right"/>
      <protection/>
    </xf>
    <xf numFmtId="37" fontId="12" fillId="0" borderId="36" xfId="0" applyNumberFormat="1" applyFont="1" applyBorder="1" applyAlignment="1" applyProtection="1">
      <alignment horizontal="right"/>
      <protection/>
    </xf>
    <xf numFmtId="37" fontId="8" fillId="0" borderId="28" xfId="0" applyNumberFormat="1" applyFont="1" applyBorder="1" applyAlignment="1" applyProtection="1">
      <alignment/>
      <protection locked="0"/>
    </xf>
    <xf numFmtId="37" fontId="8" fillId="0" borderId="20" xfId="0" applyNumberFormat="1" applyFont="1" applyBorder="1" applyAlignment="1" applyProtection="1">
      <alignment/>
      <protection locked="0"/>
    </xf>
    <xf numFmtId="37" fontId="14" fillId="33" borderId="28" xfId="65" applyNumberFormat="1" applyFont="1" applyFill="1" applyBorder="1" applyProtection="1">
      <alignment/>
      <protection/>
    </xf>
    <xf numFmtId="0" fontId="10" fillId="0" borderId="0" xfId="0" applyFont="1" applyAlignment="1" applyProtection="1">
      <alignment horizontal="right"/>
      <protection/>
    </xf>
    <xf numFmtId="164" fontId="4" fillId="0" borderId="0" xfId="0" applyNumberFormat="1" applyFont="1" applyAlignment="1" applyProtection="1" quotePrefix="1">
      <alignment horizontal="right"/>
      <protection/>
    </xf>
    <xf numFmtId="164" fontId="4" fillId="0" borderId="0" xfId="0" applyNumberFormat="1" applyFont="1" applyAlignment="1" applyProtection="1" quotePrefix="1">
      <alignment horizontal="left"/>
      <protection/>
    </xf>
    <xf numFmtId="4" fontId="8" fillId="0" borderId="20" xfId="0" applyNumberFormat="1" applyFont="1" applyBorder="1" applyAlignment="1" applyProtection="1">
      <alignment horizontal="right"/>
      <protection locked="0"/>
    </xf>
    <xf numFmtId="4" fontId="8" fillId="0" borderId="28" xfId="0" applyNumberFormat="1" applyFont="1" applyBorder="1" applyAlignment="1" applyProtection="1">
      <alignment horizontal="right"/>
      <protection locked="0"/>
    </xf>
    <xf numFmtId="4" fontId="8" fillId="0" borderId="28" xfId="0" applyNumberFormat="1" applyFont="1" applyBorder="1" applyAlignment="1" applyProtection="1">
      <alignment horizontal="right"/>
      <protection/>
    </xf>
    <xf numFmtId="0" fontId="0" fillId="0" borderId="0" xfId="0" applyBorder="1" applyAlignment="1">
      <alignment/>
    </xf>
    <xf numFmtId="0" fontId="24" fillId="33" borderId="0" xfId="63" applyNumberFormat="1" applyFont="1" applyFill="1" applyAlignment="1" applyProtection="1">
      <alignment horizontal="left"/>
      <protection/>
    </xf>
    <xf numFmtId="0" fontId="24" fillId="33" borderId="0" xfId="63" applyNumberFormat="1" applyFont="1" applyFill="1" applyProtection="1">
      <alignment/>
      <protection/>
    </xf>
    <xf numFmtId="0" fontId="9"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0" xfId="0" applyFont="1" applyBorder="1" applyAlignment="1" applyProtection="1">
      <alignment horizontal="left"/>
      <protection/>
    </xf>
    <xf numFmtId="0" fontId="8" fillId="0" borderId="0" xfId="0" applyFont="1" applyAlignment="1" applyProtection="1">
      <alignment/>
      <protection locked="0"/>
    </xf>
    <xf numFmtId="0" fontId="0" fillId="0" borderId="0" xfId="0" applyAlignment="1">
      <alignment/>
    </xf>
    <xf numFmtId="0" fontId="8" fillId="0" borderId="37" xfId="0" applyFont="1" applyBorder="1" applyAlignment="1" applyProtection="1">
      <alignment horizontal="center" wrapText="1"/>
      <protection/>
    </xf>
    <xf numFmtId="0" fontId="8" fillId="0" borderId="38" xfId="0" applyFont="1" applyBorder="1" applyAlignment="1" applyProtection="1">
      <alignment/>
      <protection/>
    </xf>
    <xf numFmtId="37" fontId="8" fillId="0" borderId="23" xfId="0" applyNumberFormat="1" applyFont="1" applyBorder="1" applyAlignment="1" applyProtection="1">
      <alignment horizontal="right"/>
      <protection/>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0" fillId="0" borderId="0" xfId="0" applyFill="1" applyBorder="1" applyAlignment="1">
      <alignment/>
    </xf>
    <xf numFmtId="0" fontId="8" fillId="0" borderId="0" xfId="0" applyFont="1" applyBorder="1" applyAlignment="1">
      <alignment/>
    </xf>
    <xf numFmtId="37" fontId="8" fillId="0" borderId="0" xfId="0" applyNumberFormat="1" applyFont="1" applyFill="1" applyBorder="1" applyAlignment="1" applyProtection="1">
      <alignment horizontal="left"/>
      <protection/>
    </xf>
    <xf numFmtId="49" fontId="8" fillId="0" borderId="0" xfId="0" applyNumberFormat="1" applyFont="1" applyFill="1" applyBorder="1" applyAlignment="1" applyProtection="1" quotePrefix="1">
      <alignment horizontal="right"/>
      <protection/>
    </xf>
    <xf numFmtId="0" fontId="8" fillId="0" borderId="0" xfId="0" applyFont="1" applyFill="1" applyBorder="1" applyAlignment="1">
      <alignmen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0" fillId="0" borderId="0" xfId="0" applyFill="1" applyBorder="1" applyAlignment="1">
      <alignment/>
    </xf>
    <xf numFmtId="0" fontId="8" fillId="0" borderId="0" xfId="0" applyFont="1" applyFill="1" applyBorder="1" applyAlignment="1">
      <alignment/>
    </xf>
    <xf numFmtId="37" fontId="13" fillId="33" borderId="0" xfId="65" applyNumberFormat="1" applyFont="1" applyFill="1" applyBorder="1" applyAlignment="1" applyProtection="1">
      <alignment horizontal="center"/>
      <protection/>
    </xf>
    <xf numFmtId="37" fontId="6" fillId="33" borderId="0" xfId="65" applyNumberFormat="1" applyFont="1" applyBorder="1" applyProtection="1">
      <alignment/>
      <protection/>
    </xf>
    <xf numFmtId="37" fontId="13" fillId="33" borderId="14" xfId="65" applyNumberFormat="1" applyFont="1" applyFill="1" applyBorder="1" applyAlignment="1" applyProtection="1">
      <alignment horizontal="center"/>
      <protection/>
    </xf>
    <xf numFmtId="37" fontId="14" fillId="33" borderId="19" xfId="65" applyNumberFormat="1" applyFont="1" applyFill="1" applyBorder="1" applyAlignment="1" applyProtection="1">
      <alignment horizontal="centerContinuous"/>
      <protection/>
    </xf>
    <xf numFmtId="0" fontId="15" fillId="33" borderId="19" xfId="63" applyFont="1" applyBorder="1" applyAlignment="1" applyProtection="1">
      <alignment horizontal="left"/>
      <protection/>
    </xf>
    <xf numFmtId="37" fontId="13" fillId="33" borderId="26" xfId="64" applyNumberFormat="1" applyFont="1" applyFill="1" applyBorder="1" applyAlignment="1" applyProtection="1">
      <alignment horizontal="left"/>
      <protection/>
    </xf>
    <xf numFmtId="3" fontId="8" fillId="35" borderId="28" xfId="0" applyNumberFormat="1" applyFont="1" applyFill="1" applyBorder="1" applyAlignment="1" applyProtection="1">
      <alignment horizontal="right"/>
      <protection/>
    </xf>
    <xf numFmtId="0" fontId="0" fillId="0" borderId="0" xfId="0" applyAlignment="1" applyProtection="1">
      <alignment/>
      <protection/>
    </xf>
    <xf numFmtId="0" fontId="8" fillId="33" borderId="0" xfId="63" applyNumberFormat="1" applyFont="1" quotePrefix="1">
      <alignment/>
      <protection/>
    </xf>
    <xf numFmtId="3" fontId="8" fillId="36" borderId="28" xfId="0" applyNumberFormat="1" applyFont="1" applyFill="1" applyBorder="1" applyAlignment="1" applyProtection="1">
      <alignment/>
      <protection/>
    </xf>
    <xf numFmtId="165" fontId="8" fillId="36" borderId="28" xfId="0" applyNumberFormat="1" applyFont="1" applyFill="1" applyBorder="1" applyAlignment="1" applyProtection="1">
      <alignment/>
      <protection/>
    </xf>
    <xf numFmtId="38" fontId="8" fillId="0" borderId="10" xfId="0" applyNumberFormat="1" applyFont="1" applyBorder="1" applyAlignment="1" applyProtection="1">
      <alignment/>
      <protection locked="0"/>
    </xf>
    <xf numFmtId="0" fontId="4" fillId="0" borderId="0" xfId="0" applyFont="1" applyBorder="1" applyAlignment="1" applyProtection="1">
      <alignment/>
      <protection/>
    </xf>
    <xf numFmtId="37" fontId="22" fillId="33" borderId="0" xfId="63" applyNumberFormat="1" applyFont="1" applyFill="1" applyAlignment="1" applyProtection="1">
      <alignment horizontal="centerContinuous" vertical="top"/>
      <protection/>
    </xf>
    <xf numFmtId="49" fontId="4" fillId="0" borderId="0" xfId="0" applyNumberFormat="1" applyFont="1" applyAlignment="1" applyProtection="1">
      <alignment horizontal="right"/>
      <protection/>
    </xf>
    <xf numFmtId="37" fontId="14" fillId="33" borderId="13" xfId="64" applyNumberFormat="1" applyFont="1" applyFill="1" applyBorder="1" applyAlignment="1" applyProtection="1">
      <alignment/>
      <protection/>
    </xf>
    <xf numFmtId="37" fontId="14" fillId="33" borderId="39" xfId="64" applyNumberFormat="1" applyFont="1" applyFill="1" applyBorder="1" applyAlignment="1" applyProtection="1">
      <alignment/>
      <protection/>
    </xf>
    <xf numFmtId="37" fontId="13" fillId="33" borderId="40" xfId="64" applyNumberFormat="1" applyFont="1" applyFill="1" applyBorder="1" applyAlignment="1" applyProtection="1">
      <alignment horizontal="right"/>
      <protection/>
    </xf>
    <xf numFmtId="1" fontId="12" fillId="33" borderId="0" xfId="63" applyNumberFormat="1" applyFont="1" applyFill="1" applyAlignment="1" applyProtection="1" quotePrefix="1">
      <alignment horizontal="right"/>
      <protection/>
    </xf>
    <xf numFmtId="0" fontId="9" fillId="0" borderId="0" xfId="0" applyFont="1" applyAlignment="1" applyProtection="1">
      <alignment horizontal="centerContinuous" vertical="top"/>
      <protection/>
    </xf>
    <xf numFmtId="0" fontId="4" fillId="0" borderId="0" xfId="0" applyFont="1" applyAlignment="1" applyProtection="1" quotePrefix="1">
      <alignment/>
      <protection/>
    </xf>
    <xf numFmtId="0" fontId="8" fillId="0" borderId="0" xfId="0" applyFont="1" applyAlignment="1" applyProtection="1">
      <alignment horizontal="centerContinuous"/>
      <protection/>
    </xf>
    <xf numFmtId="0" fontId="8" fillId="0" borderId="0" xfId="0" applyFont="1" applyAlignment="1" applyProtection="1">
      <alignment/>
      <protection/>
    </xf>
    <xf numFmtId="0" fontId="8" fillId="0" borderId="10" xfId="0" applyFont="1" applyBorder="1" applyAlignment="1" applyProtection="1">
      <alignment horizontal="centerContinuous"/>
      <protection/>
    </xf>
    <xf numFmtId="38" fontId="8" fillId="0" borderId="10" xfId="0" applyNumberFormat="1" applyFont="1" applyBorder="1" applyAlignment="1" applyProtection="1">
      <alignment/>
      <protection/>
    </xf>
    <xf numFmtId="38" fontId="8" fillId="0" borderId="41" xfId="0" applyNumberFormat="1" applyFont="1" applyBorder="1" applyAlignment="1" applyProtection="1">
      <alignment/>
      <protection/>
    </xf>
    <xf numFmtId="171" fontId="8" fillId="0" borderId="0" xfId="0" applyNumberFormat="1" applyFont="1" applyAlignment="1" applyProtection="1">
      <alignment horizontal="center"/>
      <protection/>
    </xf>
    <xf numFmtId="171" fontId="8" fillId="0" borderId="0" xfId="0" applyNumberFormat="1" applyFont="1" applyBorder="1" applyAlignment="1" applyProtection="1">
      <alignment/>
      <protection/>
    </xf>
    <xf numFmtId="171" fontId="8" fillId="0" borderId="0" xfId="0" applyNumberFormat="1" applyFont="1" applyBorder="1" applyAlignment="1" applyProtection="1">
      <alignment horizontal="center"/>
      <protection/>
    </xf>
    <xf numFmtId="0" fontId="8" fillId="0" borderId="0" xfId="0" applyFont="1" applyAlignment="1" applyProtection="1">
      <alignment vertical="top"/>
      <protection/>
    </xf>
    <xf numFmtId="0" fontId="8" fillId="0" borderId="0" xfId="0" applyFont="1" applyAlignment="1" applyProtection="1">
      <alignment horizontal="centerContinuous" wrapText="1"/>
      <protection/>
    </xf>
    <xf numFmtId="38" fontId="8" fillId="0" borderId="41" xfId="0" applyNumberFormat="1" applyFont="1" applyBorder="1" applyAlignment="1" applyProtection="1">
      <alignment/>
      <protection/>
    </xf>
    <xf numFmtId="0" fontId="2" fillId="0" borderId="0" xfId="0" applyFont="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centerContinuous"/>
      <protection/>
    </xf>
    <xf numFmtId="0" fontId="3" fillId="0" borderId="10" xfId="0" applyFont="1" applyBorder="1" applyAlignment="1" applyProtection="1">
      <alignment horizontal="centerContinuous"/>
      <protection/>
    </xf>
    <xf numFmtId="0" fontId="8" fillId="0" borderId="14" xfId="0" applyFont="1" applyBorder="1" applyAlignment="1" applyProtection="1">
      <alignment horizontal="centerContinuous"/>
      <protection/>
    </xf>
    <xf numFmtId="165" fontId="8" fillId="32" borderId="28" xfId="0" applyNumberFormat="1" applyFont="1" applyFill="1" applyBorder="1" applyAlignment="1" applyProtection="1">
      <alignment/>
      <protection/>
    </xf>
    <xf numFmtId="165" fontId="8" fillId="32" borderId="20" xfId="0" applyNumberFormat="1" applyFont="1" applyFill="1" applyBorder="1" applyAlignment="1" applyProtection="1">
      <alignment/>
      <protection/>
    </xf>
    <xf numFmtId="38" fontId="4" fillId="0" borderId="0" xfId="0" applyNumberFormat="1" applyFont="1" applyBorder="1" applyAlignment="1" applyProtection="1">
      <alignment/>
      <protection/>
    </xf>
    <xf numFmtId="37" fontId="8" fillId="0" borderId="28" xfId="0" applyNumberFormat="1" applyFont="1" applyFill="1" applyBorder="1" applyAlignment="1" applyProtection="1">
      <alignment horizontal="right"/>
      <protection locked="0"/>
    </xf>
    <xf numFmtId="0" fontId="0" fillId="0" borderId="0" xfId="0" applyBorder="1" applyAlignment="1" applyProtection="1">
      <alignment/>
      <protection/>
    </xf>
    <xf numFmtId="0" fontId="8" fillId="0" borderId="42" xfId="0" applyFont="1" applyBorder="1" applyAlignment="1" applyProtection="1">
      <alignment horizontal="center"/>
      <protection/>
    </xf>
    <xf numFmtId="165" fontId="8" fillId="36" borderId="13" xfId="0" applyNumberFormat="1" applyFont="1" applyFill="1" applyBorder="1" applyAlignment="1" applyProtection="1">
      <alignment horizontal="right"/>
      <protection/>
    </xf>
    <xf numFmtId="0" fontId="0" fillId="0" borderId="0" xfId="0" applyFill="1" applyBorder="1" applyAlignment="1" applyProtection="1">
      <alignment/>
      <protection/>
    </xf>
    <xf numFmtId="49" fontId="8" fillId="0" borderId="0" xfId="0" applyNumberFormat="1" applyFont="1" applyBorder="1" applyAlignment="1" applyProtection="1">
      <alignment horizontal="left"/>
      <protection/>
    </xf>
    <xf numFmtId="4" fontId="12" fillId="0" borderId="36" xfId="0" applyNumberFormat="1" applyFont="1" applyBorder="1" applyAlignment="1" applyProtection="1">
      <alignment horizontal="right"/>
      <protection/>
    </xf>
    <xf numFmtId="37" fontId="14" fillId="33" borderId="28" xfId="64" applyNumberFormat="1" applyFont="1" applyFill="1" applyBorder="1" applyProtection="1">
      <alignment/>
      <protection/>
    </xf>
    <xf numFmtId="0" fontId="4" fillId="0" borderId="0" xfId="0" applyFont="1" applyAlignment="1" applyProtection="1">
      <alignment horizontal="centerContinuous" vertical="top"/>
      <protection/>
    </xf>
    <xf numFmtId="37" fontId="8" fillId="0" borderId="10" xfId="0" applyNumberFormat="1" applyFont="1" applyBorder="1" applyAlignment="1" applyProtection="1">
      <alignment horizontal="right"/>
      <protection locked="0"/>
    </xf>
    <xf numFmtId="172" fontId="8" fillId="0" borderId="20" xfId="0" applyNumberFormat="1" applyFont="1" applyBorder="1" applyAlignment="1" applyProtection="1">
      <alignment/>
      <protection locked="0"/>
    </xf>
    <xf numFmtId="172" fontId="8" fillId="0" borderId="28" xfId="0" applyNumberFormat="1" applyFont="1" applyBorder="1" applyAlignment="1" applyProtection="1">
      <alignment/>
      <protection locked="0"/>
    </xf>
    <xf numFmtId="172" fontId="8" fillId="0" borderId="0" xfId="0" applyNumberFormat="1" applyFont="1" applyBorder="1" applyAlignment="1" applyProtection="1">
      <alignment/>
      <protection/>
    </xf>
    <xf numFmtId="38" fontId="8" fillId="0" borderId="0" xfId="0" applyNumberFormat="1" applyFont="1" applyAlignment="1" applyProtection="1">
      <alignment/>
      <protection/>
    </xf>
    <xf numFmtId="0" fontId="8" fillId="0" borderId="0" xfId="0" applyFont="1" applyFill="1" applyBorder="1" applyAlignment="1" applyProtection="1">
      <alignment/>
      <protection/>
    </xf>
    <xf numFmtId="0" fontId="8" fillId="0" borderId="0" xfId="0" applyFont="1" applyAlignment="1">
      <alignment/>
    </xf>
    <xf numFmtId="37" fontId="8" fillId="0" borderId="43" xfId="42" applyNumberFormat="1" applyFont="1" applyBorder="1" applyAlignment="1" applyProtection="1">
      <alignment/>
      <protection locked="0"/>
    </xf>
    <xf numFmtId="49" fontId="8" fillId="0" borderId="0" xfId="0" applyNumberFormat="1" applyFont="1" applyAlignment="1" applyProtection="1">
      <alignment horizontal="left"/>
      <protection locked="0"/>
    </xf>
    <xf numFmtId="172" fontId="8" fillId="0" borderId="28" xfId="0" applyNumberFormat="1" applyFont="1" applyBorder="1" applyAlignment="1" applyProtection="1">
      <alignment/>
      <protection locked="0"/>
    </xf>
    <xf numFmtId="4" fontId="8" fillId="0" borderId="20" xfId="0" applyNumberFormat="1" applyFont="1" applyFill="1" applyBorder="1" applyAlignment="1" applyProtection="1">
      <alignment horizontal="right"/>
      <protection/>
    </xf>
    <xf numFmtId="3" fontId="8" fillId="0" borderId="28" xfId="0" applyNumberFormat="1" applyFont="1" applyFill="1" applyBorder="1" applyAlignment="1" applyProtection="1">
      <alignment/>
      <protection/>
    </xf>
    <xf numFmtId="3" fontId="8" fillId="0" borderId="28" xfId="0" applyNumberFormat="1" applyFont="1" applyFill="1" applyBorder="1" applyAlignment="1" applyProtection="1">
      <alignment horizontal="right"/>
      <protection/>
    </xf>
    <xf numFmtId="4" fontId="8" fillId="0" borderId="28" xfId="0" applyNumberFormat="1" applyFont="1" applyFill="1" applyBorder="1" applyAlignment="1" applyProtection="1">
      <alignment horizontal="right"/>
      <protection/>
    </xf>
    <xf numFmtId="0" fontId="26" fillId="0" borderId="0" xfId="0" applyFont="1" applyAlignment="1">
      <alignment/>
    </xf>
    <xf numFmtId="0" fontId="4" fillId="0" borderId="0" xfId="0" applyFont="1" applyBorder="1" applyAlignment="1" applyProtection="1">
      <alignment horizontal="center"/>
      <protection/>
    </xf>
    <xf numFmtId="0" fontId="5" fillId="0" borderId="0" xfId="0" applyFont="1" applyAlignment="1">
      <alignment/>
    </xf>
    <xf numFmtId="37" fontId="8" fillId="0" borderId="28" xfId="0" applyNumberFormat="1" applyFont="1" applyFill="1" applyBorder="1" applyAlignment="1" applyProtection="1">
      <alignment horizontal="right"/>
      <protection/>
    </xf>
    <xf numFmtId="37" fontId="14" fillId="0" borderId="28" xfId="65" applyNumberFormat="1" applyFont="1" applyFill="1" applyBorder="1" applyProtection="1">
      <alignment/>
      <protection/>
    </xf>
    <xf numFmtId="37" fontId="8" fillId="33" borderId="0" xfId="63" applyNumberFormat="1" applyFont="1" applyBorder="1" applyProtection="1">
      <alignment/>
      <protection/>
    </xf>
    <xf numFmtId="49" fontId="4" fillId="0" borderId="0" xfId="0" applyNumberFormat="1" applyFont="1" applyAlignment="1" applyProtection="1">
      <alignment horizontal="left"/>
      <protection/>
    </xf>
    <xf numFmtId="0" fontId="25" fillId="0" borderId="0" xfId="0" applyFont="1" applyAlignment="1">
      <alignment horizontal="justify" vertical="top"/>
    </xf>
    <xf numFmtId="0" fontId="25" fillId="0" borderId="0" xfId="0" applyFont="1" applyAlignment="1" applyProtection="1">
      <alignment/>
      <protection/>
    </xf>
    <xf numFmtId="0" fontId="8" fillId="0" borderId="0" xfId="0" applyFont="1" applyBorder="1" applyAlignment="1" applyProtection="1">
      <alignment horizontal="right"/>
      <protection/>
    </xf>
    <xf numFmtId="0" fontId="8" fillId="0" borderId="0" xfId="0" applyFont="1" applyAlignment="1">
      <alignment/>
    </xf>
    <xf numFmtId="14" fontId="8" fillId="0" borderId="0" xfId="0" applyNumberFormat="1" applyFont="1" applyBorder="1" applyAlignment="1" applyProtection="1">
      <alignment horizontal="center"/>
      <protection/>
    </xf>
    <xf numFmtId="14" fontId="8" fillId="0" borderId="15" xfId="0" applyNumberFormat="1" applyFont="1" applyBorder="1" applyAlignment="1" applyProtection="1">
      <alignment horizontal="center"/>
      <protection/>
    </xf>
    <xf numFmtId="0" fontId="8" fillId="0" borderId="0" xfId="0" applyFont="1" applyAlignment="1" applyProtection="1">
      <alignment horizontal="justify" vertical="top" wrapText="1"/>
      <protection/>
    </xf>
    <xf numFmtId="0" fontId="8" fillId="0" borderId="0" xfId="0" applyFont="1" applyBorder="1" applyAlignment="1" applyProtection="1">
      <alignment horizontal="centerContinuous"/>
      <protection/>
    </xf>
    <xf numFmtId="1" fontId="22" fillId="33" borderId="0" xfId="63" applyNumberFormat="1" applyFont="1" applyFill="1" applyBorder="1" applyProtection="1">
      <alignment/>
      <protection/>
    </xf>
    <xf numFmtId="37" fontId="12" fillId="33" borderId="0" xfId="63" applyNumberFormat="1" applyFont="1" applyFill="1" applyBorder="1" applyProtection="1">
      <alignment/>
      <protection/>
    </xf>
    <xf numFmtId="37" fontId="13" fillId="33" borderId="38" xfId="64" applyNumberFormat="1" applyFont="1" applyFill="1" applyBorder="1" applyAlignment="1" applyProtection="1">
      <alignment horizontal="center" vertical="top"/>
      <protection/>
    </xf>
    <xf numFmtId="172" fontId="8" fillId="0" borderId="20" xfId="0" applyNumberFormat="1" applyFont="1" applyFill="1" applyBorder="1" applyAlignment="1" applyProtection="1">
      <alignment/>
      <protection locked="0"/>
    </xf>
    <xf numFmtId="4" fontId="8" fillId="32" borderId="20" xfId="0" applyNumberFormat="1" applyFont="1" applyFill="1" applyBorder="1" applyAlignment="1" applyProtection="1">
      <alignment horizontal="right"/>
      <protection/>
    </xf>
    <xf numFmtId="4" fontId="8" fillId="33" borderId="28" xfId="0" applyNumberFormat="1" applyFont="1" applyFill="1" applyBorder="1" applyAlignment="1" applyProtection="1">
      <alignment horizontal="right"/>
      <protection/>
    </xf>
    <xf numFmtId="4" fontId="8" fillId="33" borderId="20" xfId="0" applyNumberFormat="1" applyFont="1" applyFill="1" applyBorder="1" applyAlignment="1" applyProtection="1">
      <alignment horizontal="right"/>
      <protection/>
    </xf>
    <xf numFmtId="4" fontId="8" fillId="0" borderId="20" xfId="0" applyNumberFormat="1" applyFont="1" applyBorder="1" applyAlignment="1" applyProtection="1">
      <alignment horizontal="right"/>
      <protection/>
    </xf>
    <xf numFmtId="3" fontId="8" fillId="32" borderId="28" xfId="0" applyNumberFormat="1" applyFont="1" applyFill="1" applyBorder="1" applyAlignment="1" applyProtection="1">
      <alignment/>
      <protection/>
    </xf>
    <xf numFmtId="3" fontId="8" fillId="32" borderId="20" xfId="0" applyNumberFormat="1" applyFont="1" applyFill="1" applyBorder="1" applyAlignment="1" applyProtection="1">
      <alignment/>
      <protection/>
    </xf>
    <xf numFmtId="37" fontId="8" fillId="36" borderId="28" xfId="0" applyNumberFormat="1" applyFont="1" applyFill="1" applyBorder="1" applyAlignment="1" applyProtection="1">
      <alignment horizontal="right"/>
      <protection/>
    </xf>
    <xf numFmtId="37" fontId="8" fillId="0" borderId="28" xfId="0" applyNumberFormat="1" applyFont="1" applyBorder="1" applyAlignment="1" applyProtection="1">
      <alignment/>
      <protection/>
    </xf>
    <xf numFmtId="37" fontId="8" fillId="33" borderId="10" xfId="63" applyNumberFormat="1" applyFont="1" applyBorder="1" applyProtection="1">
      <alignment/>
      <protection/>
    </xf>
    <xf numFmtId="172" fontId="8" fillId="0" borderId="28" xfId="0" applyNumberFormat="1" applyFont="1" applyFill="1" applyBorder="1" applyAlignment="1" applyProtection="1">
      <alignment/>
      <protection locked="0"/>
    </xf>
    <xf numFmtId="0" fontId="0" fillId="0" borderId="0" xfId="0" applyAlignment="1">
      <alignment horizontal="centerContinuous"/>
    </xf>
    <xf numFmtId="0" fontId="9" fillId="0" borderId="38" xfId="0" applyFont="1" applyBorder="1" applyAlignment="1">
      <alignment horizontal="center"/>
    </xf>
    <xf numFmtId="0" fontId="0" fillId="0" borderId="38" xfId="0" applyBorder="1" applyAlignment="1">
      <alignment/>
    </xf>
    <xf numFmtId="0" fontId="8" fillId="0" borderId="0" xfId="0" applyFont="1" applyAlignment="1" applyProtection="1">
      <alignment horizontal="justify" wrapText="1"/>
      <protection/>
    </xf>
    <xf numFmtId="0" fontId="8" fillId="0" borderId="0" xfId="0" applyFont="1" applyBorder="1" applyAlignment="1" applyProtection="1">
      <alignment horizontal="center"/>
      <protection/>
    </xf>
    <xf numFmtId="0" fontId="4" fillId="0" borderId="14" xfId="0" applyFont="1" applyBorder="1" applyAlignment="1" applyProtection="1">
      <alignment/>
      <protection/>
    </xf>
    <xf numFmtId="0" fontId="10" fillId="0" borderId="0" xfId="0" applyFont="1" applyAlignment="1" applyProtection="1">
      <alignment horizontal="left"/>
      <protection/>
    </xf>
    <xf numFmtId="0" fontId="8" fillId="0" borderId="0" xfId="0" applyFont="1" applyAlignment="1">
      <alignment horizontal="right"/>
    </xf>
    <xf numFmtId="0" fontId="10" fillId="0" borderId="0" xfId="0" applyFont="1" applyAlignment="1">
      <alignment horizontal="centerContinuous"/>
    </xf>
    <xf numFmtId="0" fontId="8" fillId="0" borderId="0" xfId="0" applyFont="1" applyAlignment="1">
      <alignment horizontal="centerContinuous"/>
    </xf>
    <xf numFmtId="49" fontId="8" fillId="0" borderId="0" xfId="0" applyNumberFormat="1" applyFont="1" applyAlignment="1">
      <alignment horizontal="right"/>
    </xf>
    <xf numFmtId="0" fontId="10" fillId="0" borderId="0" xfId="0" applyFont="1" applyAlignment="1">
      <alignment/>
    </xf>
    <xf numFmtId="3" fontId="8" fillId="0" borderId="0" xfId="42" applyNumberFormat="1" applyFont="1" applyBorder="1" applyAlignment="1">
      <alignment/>
    </xf>
    <xf numFmtId="3" fontId="8" fillId="0" borderId="0" xfId="42" applyNumberFormat="1" applyFont="1" applyAlignment="1">
      <alignment/>
    </xf>
    <xf numFmtId="173" fontId="8" fillId="0" borderId="0" xfId="0" applyNumberFormat="1" applyFont="1" applyAlignment="1">
      <alignment/>
    </xf>
    <xf numFmtId="0" fontId="8" fillId="0" borderId="0" xfId="0" applyFont="1" applyAlignment="1" quotePrefix="1">
      <alignment horizontal="right" vertical="top"/>
    </xf>
    <xf numFmtId="0" fontId="8" fillId="0" borderId="0" xfId="0" applyFont="1" applyAlignment="1">
      <alignment vertical="top"/>
    </xf>
    <xf numFmtId="1" fontId="12" fillId="33" borderId="0" xfId="63" applyNumberFormat="1" applyFont="1" applyFill="1" applyAlignment="1" applyProtection="1" quotePrefix="1">
      <alignment horizontal="right" vertical="top"/>
      <protection/>
    </xf>
    <xf numFmtId="0" fontId="8" fillId="0" borderId="0" xfId="0" applyFont="1" applyAlignment="1">
      <alignment horizontal="left"/>
    </xf>
    <xf numFmtId="3" fontId="8" fillId="0" borderId="0" xfId="42" applyNumberFormat="1" applyFont="1" applyBorder="1" applyAlignment="1" applyProtection="1">
      <alignment/>
      <protection/>
    </xf>
    <xf numFmtId="37" fontId="8" fillId="0" borderId="43" xfId="0" applyNumberFormat="1" applyFont="1" applyBorder="1" applyAlignment="1" applyProtection="1">
      <alignment/>
      <protection locked="0"/>
    </xf>
    <xf numFmtId="37" fontId="8" fillId="0" borderId="38" xfId="0" applyNumberFormat="1" applyFont="1" applyBorder="1" applyAlignment="1">
      <alignment/>
    </xf>
    <xf numFmtId="166" fontId="14" fillId="33" borderId="17" xfId="65" applyNumberFormat="1" applyFont="1" applyFill="1" applyBorder="1" applyAlignment="1" applyProtection="1">
      <alignment horizontal="right"/>
      <protection locked="0"/>
    </xf>
    <xf numFmtId="0" fontId="0" fillId="0" borderId="0" xfId="0" applyFont="1" applyAlignment="1">
      <alignment horizontal="left" vertical="center" wrapText="1"/>
    </xf>
    <xf numFmtId="0" fontId="0" fillId="0" borderId="38" xfId="0" applyFont="1" applyBorder="1" applyAlignment="1">
      <alignment horizontal="left" vertical="center" wrapText="1"/>
    </xf>
    <xf numFmtId="172" fontId="8" fillId="0" borderId="43" xfId="0" applyNumberFormat="1" applyFont="1" applyBorder="1" applyAlignment="1">
      <alignment/>
    </xf>
    <xf numFmtId="0" fontId="15" fillId="33" borderId="0" xfId="64" applyNumberFormat="1" applyFont="1" applyAlignment="1" applyProtection="1">
      <alignment horizontal="left"/>
      <protection/>
    </xf>
    <xf numFmtId="37" fontId="6" fillId="33" borderId="39" xfId="65" applyNumberFormat="1" applyFont="1" applyBorder="1">
      <alignment/>
      <protection/>
    </xf>
    <xf numFmtId="0" fontId="0" fillId="0" borderId="0" xfId="0" applyAlignment="1" applyProtection="1">
      <alignment wrapText="1"/>
      <protection/>
    </xf>
    <xf numFmtId="0" fontId="9" fillId="0" borderId="0" xfId="0" applyFont="1" applyBorder="1" applyAlignment="1">
      <alignment horizontal="center"/>
    </xf>
    <xf numFmtId="37" fontId="12" fillId="0" borderId="44" xfId="0" applyNumberFormat="1" applyFont="1" applyBorder="1" applyAlignment="1" applyProtection="1">
      <alignment horizontal="right"/>
      <protection/>
    </xf>
    <xf numFmtId="0" fontId="6" fillId="0" borderId="0" xfId="0" applyFont="1" applyBorder="1" applyAlignment="1" applyProtection="1">
      <alignment/>
      <protection/>
    </xf>
    <xf numFmtId="37" fontId="6" fillId="0" borderId="0" xfId="0" applyNumberFormat="1" applyFont="1" applyBorder="1" applyAlignment="1" applyProtection="1">
      <alignment horizontal="right"/>
      <protection/>
    </xf>
    <xf numFmtId="37" fontId="6" fillId="0" borderId="0" xfId="0" applyNumberFormat="1" applyFont="1" applyBorder="1" applyAlignment="1" applyProtection="1">
      <alignment/>
      <protection/>
    </xf>
    <xf numFmtId="49" fontId="6" fillId="0" borderId="0" xfId="0" applyNumberFormat="1" applyFont="1" applyBorder="1" applyAlignment="1" applyProtection="1">
      <alignment horizontal="left"/>
      <protection/>
    </xf>
    <xf numFmtId="0" fontId="29" fillId="0" borderId="0" xfId="0" applyFont="1" applyAlignment="1">
      <alignment/>
    </xf>
    <xf numFmtId="49" fontId="6" fillId="0" borderId="45" xfId="0" applyNumberFormat="1" applyFont="1" applyBorder="1" applyAlignment="1" applyProtection="1">
      <alignment horizontal="center"/>
      <protection/>
    </xf>
    <xf numFmtId="0" fontId="15" fillId="0" borderId="19" xfId="0" applyFont="1" applyBorder="1" applyAlignment="1" applyProtection="1">
      <alignment/>
      <protection/>
    </xf>
    <xf numFmtId="0" fontId="6" fillId="0" borderId="32" xfId="0" applyFont="1" applyBorder="1" applyAlignment="1">
      <alignment/>
    </xf>
    <xf numFmtId="0" fontId="6" fillId="0" borderId="0" xfId="0" applyFont="1" applyBorder="1" applyAlignment="1">
      <alignment/>
    </xf>
    <xf numFmtId="49" fontId="6" fillId="0" borderId="31" xfId="0" applyNumberFormat="1" applyFont="1" applyBorder="1" applyAlignment="1" applyProtection="1">
      <alignment/>
      <protection/>
    </xf>
    <xf numFmtId="49" fontId="6" fillId="0" borderId="0" xfId="0" applyNumberFormat="1" applyFont="1" applyBorder="1" applyAlignment="1" applyProtection="1">
      <alignment horizontal="centerContinuous"/>
      <protection/>
    </xf>
    <xf numFmtId="0" fontId="6" fillId="0" borderId="46" xfId="0" applyFont="1" applyBorder="1" applyAlignment="1">
      <alignment horizontal="centerContinuous"/>
    </xf>
    <xf numFmtId="0" fontId="6" fillId="0" borderId="45" xfId="0" applyFont="1" applyBorder="1" applyAlignment="1" applyProtection="1">
      <alignment horizontal="center" wrapText="1"/>
      <protection/>
    </xf>
    <xf numFmtId="49" fontId="6" fillId="0" borderId="0" xfId="0" applyNumberFormat="1" applyFont="1" applyBorder="1" applyAlignment="1" applyProtection="1">
      <alignment horizontal="center"/>
      <protection/>
    </xf>
    <xf numFmtId="0" fontId="6" fillId="0" borderId="46" xfId="0" applyFont="1" applyBorder="1" applyAlignment="1" applyProtection="1">
      <alignment horizontal="center"/>
      <protection/>
    </xf>
    <xf numFmtId="0" fontId="15" fillId="0" borderId="0" xfId="0" applyFont="1" applyBorder="1" applyAlignment="1" applyProtection="1">
      <alignment/>
      <protection/>
    </xf>
    <xf numFmtId="0" fontId="15" fillId="0" borderId="31" xfId="0" applyFont="1" applyBorder="1" applyAlignment="1" applyProtection="1">
      <alignment/>
      <protection/>
    </xf>
    <xf numFmtId="0" fontId="6" fillId="0" borderId="45" xfId="0" applyFont="1" applyBorder="1" applyAlignment="1" applyProtection="1">
      <alignment horizontal="center"/>
      <protection/>
    </xf>
    <xf numFmtId="0" fontId="6" fillId="0" borderId="0" xfId="0" applyFont="1" applyBorder="1" applyAlignment="1" applyProtection="1">
      <alignment horizontal="center"/>
      <protection/>
    </xf>
    <xf numFmtId="0" fontId="15" fillId="0" borderId="26" xfId="0" applyFont="1" applyBorder="1" applyAlignment="1" applyProtection="1">
      <alignment/>
      <protection/>
    </xf>
    <xf numFmtId="0" fontId="15" fillId="0" borderId="38" xfId="0" applyFont="1" applyBorder="1" applyAlignment="1" applyProtection="1">
      <alignment/>
      <protection/>
    </xf>
    <xf numFmtId="0" fontId="6" fillId="0" borderId="47" xfId="0" applyFont="1" applyBorder="1" applyAlignment="1" applyProtection="1">
      <alignment/>
      <protection/>
    </xf>
    <xf numFmtId="0" fontId="6" fillId="0" borderId="17" xfId="0" applyFont="1" applyBorder="1" applyAlignment="1" applyProtection="1">
      <alignment horizontal="center"/>
      <protection/>
    </xf>
    <xf numFmtId="0" fontId="6" fillId="0" borderId="16" xfId="0" applyFont="1" applyBorder="1" applyAlignment="1" applyProtection="1">
      <alignment horizontal="center"/>
      <protection/>
    </xf>
    <xf numFmtId="0" fontId="6" fillId="0" borderId="48" xfId="0" applyFont="1" applyBorder="1" applyAlignment="1" applyProtection="1">
      <alignment horizontal="center"/>
      <protection/>
    </xf>
    <xf numFmtId="0" fontId="6" fillId="0" borderId="10" xfId="0" applyNumberFormat="1" applyFont="1" applyBorder="1" applyAlignment="1" applyProtection="1">
      <alignment horizontal="center"/>
      <protection/>
    </xf>
    <xf numFmtId="0" fontId="15" fillId="0" borderId="32" xfId="0" applyFont="1" applyBorder="1" applyAlignment="1">
      <alignment horizontal="left"/>
    </xf>
    <xf numFmtId="0" fontId="6" fillId="0" borderId="31" xfId="0" applyFont="1" applyBorder="1" applyAlignment="1" applyProtection="1">
      <alignment/>
      <protection/>
    </xf>
    <xf numFmtId="0" fontId="6" fillId="0" borderId="19" xfId="0" applyFont="1" applyBorder="1" applyAlignment="1" applyProtection="1">
      <alignment/>
      <protection/>
    </xf>
    <xf numFmtId="49" fontId="6" fillId="0" borderId="31" xfId="0" applyNumberFormat="1" applyFont="1" applyBorder="1" applyAlignment="1" applyProtection="1">
      <alignment horizontal="right"/>
      <protection/>
    </xf>
    <xf numFmtId="0" fontId="6" fillId="0" borderId="14" xfId="0" applyFont="1" applyBorder="1" applyAlignment="1" applyProtection="1">
      <alignment/>
      <protection/>
    </xf>
    <xf numFmtId="49" fontId="6" fillId="0" borderId="0" xfId="0" applyNumberFormat="1" applyFont="1" applyBorder="1" applyAlignment="1" applyProtection="1">
      <alignment horizontal="right"/>
      <protection/>
    </xf>
    <xf numFmtId="0" fontId="6" fillId="0" borderId="38" xfId="0" applyFont="1" applyBorder="1" applyAlignment="1" applyProtection="1">
      <alignment/>
      <protection/>
    </xf>
    <xf numFmtId="0" fontId="6" fillId="0" borderId="26" xfId="0" applyFont="1" applyBorder="1" applyAlignment="1" applyProtection="1">
      <alignment/>
      <protection/>
    </xf>
    <xf numFmtId="0" fontId="6" fillId="0" borderId="19" xfId="0" applyFont="1" applyBorder="1" applyAlignment="1" applyProtection="1">
      <alignment/>
      <protection locked="0"/>
    </xf>
    <xf numFmtId="49" fontId="15" fillId="0" borderId="14" xfId="0" applyNumberFormat="1" applyFont="1" applyBorder="1" applyAlignment="1" applyProtection="1">
      <alignment/>
      <protection/>
    </xf>
    <xf numFmtId="37" fontId="6" fillId="35" borderId="49" xfId="0" applyNumberFormat="1" applyFont="1" applyFill="1" applyBorder="1" applyAlignment="1" applyProtection="1">
      <alignment horizontal="right"/>
      <protection/>
    </xf>
    <xf numFmtId="37" fontId="6" fillId="35" borderId="13" xfId="0" applyNumberFormat="1" applyFont="1" applyFill="1" applyBorder="1" applyAlignment="1" applyProtection="1">
      <alignment horizontal="right"/>
      <protection/>
    </xf>
    <xf numFmtId="37" fontId="6" fillId="0" borderId="49" xfId="0" applyNumberFormat="1" applyFont="1" applyBorder="1" applyAlignment="1">
      <alignment horizontal="right"/>
    </xf>
    <xf numFmtId="37" fontId="6" fillId="0" borderId="28" xfId="0" applyNumberFormat="1" applyFont="1" applyBorder="1" applyAlignment="1" applyProtection="1">
      <alignment horizontal="right"/>
      <protection/>
    </xf>
    <xf numFmtId="165" fontId="6" fillId="0" borderId="50" xfId="0" applyNumberFormat="1" applyFont="1" applyBorder="1" applyAlignment="1" applyProtection="1">
      <alignment horizontal="right"/>
      <protection/>
    </xf>
    <xf numFmtId="37" fontId="6" fillId="35" borderId="28" xfId="0" applyNumberFormat="1" applyFont="1" applyFill="1" applyBorder="1" applyAlignment="1" applyProtection="1">
      <alignment horizontal="right"/>
      <protection/>
    </xf>
    <xf numFmtId="37" fontId="6" fillId="0" borderId="39" xfId="0" applyNumberFormat="1" applyFont="1" applyBorder="1" applyAlignment="1" applyProtection="1">
      <alignment horizontal="right"/>
      <protection/>
    </xf>
    <xf numFmtId="37" fontId="6" fillId="35" borderId="39" xfId="0" applyNumberFormat="1" applyFont="1" applyFill="1" applyBorder="1" applyAlignment="1" applyProtection="1">
      <alignment horizontal="right"/>
      <protection/>
    </xf>
    <xf numFmtId="37" fontId="6" fillId="0" borderId="51" xfId="0" applyNumberFormat="1" applyFont="1" applyBorder="1" applyAlignment="1" applyProtection="1">
      <alignment horizontal="right"/>
      <protection locked="0"/>
    </xf>
    <xf numFmtId="37" fontId="6" fillId="0" borderId="39" xfId="0" applyNumberFormat="1" applyFont="1" applyBorder="1" applyAlignment="1">
      <alignment/>
    </xf>
    <xf numFmtId="37" fontId="6" fillId="0" borderId="52" xfId="0" applyNumberFormat="1" applyFont="1" applyBorder="1" applyAlignment="1" applyProtection="1">
      <alignment horizontal="right"/>
      <protection/>
    </xf>
    <xf numFmtId="37" fontId="6" fillId="35" borderId="53" xfId="0" applyNumberFormat="1" applyFont="1" applyFill="1" applyBorder="1" applyAlignment="1" applyProtection="1">
      <alignment horizontal="right"/>
      <protection/>
    </xf>
    <xf numFmtId="37" fontId="6" fillId="0" borderId="51" xfId="0" applyNumberFormat="1" applyFont="1" applyBorder="1" applyAlignment="1" applyProtection="1">
      <alignment horizontal="right"/>
      <protection/>
    </xf>
    <xf numFmtId="37" fontId="6" fillId="0" borderId="12" xfId="0" applyNumberFormat="1" applyFont="1" applyBorder="1" applyAlignment="1" applyProtection="1">
      <alignment horizontal="right"/>
      <protection/>
    </xf>
    <xf numFmtId="37" fontId="6" fillId="35" borderId="54" xfId="0" applyNumberFormat="1" applyFont="1" applyFill="1" applyBorder="1" applyAlignment="1" applyProtection="1">
      <alignment horizontal="right"/>
      <protection/>
    </xf>
    <xf numFmtId="37" fontId="6" fillId="0" borderId="28" xfId="0" applyNumberFormat="1" applyFont="1" applyFill="1" applyBorder="1" applyAlignment="1" applyProtection="1">
      <alignment horizontal="right"/>
      <protection/>
    </xf>
    <xf numFmtId="37" fontId="6" fillId="0" borderId="51" xfId="0" applyNumberFormat="1" applyFont="1" applyFill="1" applyBorder="1" applyAlignment="1" applyProtection="1">
      <alignment horizontal="right"/>
      <protection locked="0"/>
    </xf>
    <xf numFmtId="37" fontId="6" fillId="0" borderId="51" xfId="0" applyNumberFormat="1" applyFont="1" applyFill="1" applyBorder="1" applyAlignment="1" applyProtection="1">
      <alignment horizontal="right"/>
      <protection/>
    </xf>
    <xf numFmtId="37" fontId="6" fillId="0" borderId="39" xfId="0" applyNumberFormat="1" applyFont="1" applyFill="1" applyBorder="1" applyAlignment="1" applyProtection="1">
      <alignment horizontal="right"/>
      <protection locked="0"/>
    </xf>
    <xf numFmtId="37" fontId="6" fillId="0" borderId="48" xfId="0" applyNumberFormat="1" applyFont="1" applyBorder="1" applyAlignment="1">
      <alignment/>
    </xf>
    <xf numFmtId="165" fontId="6" fillId="0" borderId="0" xfId="0" applyNumberFormat="1" applyFont="1" applyBorder="1" applyAlignment="1" applyProtection="1">
      <alignment horizontal="right"/>
      <protection/>
    </xf>
    <xf numFmtId="0" fontId="9" fillId="0" borderId="0" xfId="0" applyFont="1" applyAlignment="1" applyProtection="1">
      <alignment horizontal="right"/>
      <protection/>
    </xf>
    <xf numFmtId="0" fontId="9" fillId="0" borderId="0" xfId="0" applyFont="1" applyAlignment="1" applyProtection="1">
      <alignment horizontal="center"/>
      <protection/>
    </xf>
    <xf numFmtId="37" fontId="6" fillId="0" borderId="55" xfId="0" applyNumberFormat="1" applyFont="1" applyBorder="1" applyAlignment="1" applyProtection="1">
      <alignment horizontal="right"/>
      <protection/>
    </xf>
    <xf numFmtId="37" fontId="6" fillId="0" borderId="56" xfId="0" applyNumberFormat="1" applyFont="1" applyFill="1" applyBorder="1" applyAlignment="1" applyProtection="1">
      <alignment horizontal="right"/>
      <protection/>
    </xf>
    <xf numFmtId="37" fontId="6" fillId="0" borderId="39" xfId="0" applyNumberFormat="1" applyFont="1" applyFill="1" applyBorder="1" applyAlignment="1" applyProtection="1">
      <alignment horizontal="right"/>
      <protection/>
    </xf>
    <xf numFmtId="0" fontId="6" fillId="0" borderId="19" xfId="0" applyFont="1" applyFill="1" applyBorder="1" applyAlignment="1" applyProtection="1">
      <alignmen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right"/>
      <protection/>
    </xf>
    <xf numFmtId="165" fontId="6" fillId="0" borderId="50" xfId="0" applyNumberFormat="1" applyFont="1" applyFill="1" applyBorder="1" applyAlignment="1" applyProtection="1">
      <alignment horizontal="right"/>
      <protection/>
    </xf>
    <xf numFmtId="37" fontId="14" fillId="33" borderId="39" xfId="65" applyNumberFormat="1" applyFont="1" applyFill="1" applyBorder="1" applyAlignment="1" applyProtection="1">
      <alignment horizontal="right"/>
      <protection locked="0"/>
    </xf>
    <xf numFmtId="4" fontId="12" fillId="0" borderId="0" xfId="0" applyNumberFormat="1" applyFont="1" applyBorder="1" applyAlignment="1" applyProtection="1">
      <alignment horizontal="right"/>
      <protection/>
    </xf>
    <xf numFmtId="37" fontId="12"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15" fillId="33" borderId="19" xfId="64" applyNumberFormat="1" applyFont="1" applyBorder="1" applyAlignment="1" applyProtection="1">
      <alignment/>
      <protection/>
    </xf>
    <xf numFmtId="0" fontId="0" fillId="0" borderId="15" xfId="0" applyBorder="1" applyAlignment="1">
      <alignment/>
    </xf>
    <xf numFmtId="37" fontId="12" fillId="33" borderId="0" xfId="63" applyNumberFormat="1" applyFont="1" applyFill="1" applyBorder="1" applyAlignment="1" applyProtection="1">
      <alignment horizontal="right"/>
      <protection/>
    </xf>
    <xf numFmtId="37" fontId="30" fillId="32" borderId="0" xfId="63" applyNumberFormat="1" applyFont="1" applyFill="1" applyAlignment="1" applyProtection="1">
      <alignment horizontal="left"/>
      <protection/>
    </xf>
    <xf numFmtId="37" fontId="24" fillId="33" borderId="0" xfId="63" applyNumberFormat="1" applyFont="1" applyFill="1" applyProtection="1">
      <alignment/>
      <protection/>
    </xf>
    <xf numFmtId="37" fontId="24" fillId="33" borderId="10" xfId="63" applyNumberFormat="1" applyFont="1" applyFill="1" applyBorder="1" applyAlignment="1" applyProtection="1">
      <alignment horizontal="left"/>
      <protection/>
    </xf>
    <xf numFmtId="37" fontId="30" fillId="33" borderId="0" xfId="63" applyNumberFormat="1" applyFont="1" applyFill="1" applyAlignment="1" applyProtection="1">
      <alignment horizontal="center"/>
      <protection/>
    </xf>
    <xf numFmtId="37" fontId="30" fillId="33" borderId="0" xfId="63" applyNumberFormat="1" applyFont="1" applyFill="1" applyAlignment="1" applyProtection="1">
      <alignment horizontal="right"/>
      <protection/>
    </xf>
    <xf numFmtId="37" fontId="24" fillId="33" borderId="10" xfId="63" applyNumberFormat="1" applyFont="1" applyFill="1" applyBorder="1" applyAlignment="1" applyProtection="1">
      <alignment horizontal="center"/>
      <protection/>
    </xf>
    <xf numFmtId="0" fontId="30" fillId="33" borderId="0" xfId="63" applyNumberFormat="1" applyFont="1" applyFill="1" applyAlignment="1" applyProtection="1">
      <alignment horizontal="centerContinuous"/>
      <protection/>
    </xf>
    <xf numFmtId="0" fontId="24" fillId="33" borderId="0" xfId="63" applyNumberFormat="1" applyFont="1" applyFill="1" applyAlignment="1" applyProtection="1">
      <alignment horizontal="centerContinuous"/>
      <protection/>
    </xf>
    <xf numFmtId="0" fontId="30" fillId="33" borderId="0" xfId="63" applyNumberFormat="1" applyFont="1" applyFill="1" applyAlignment="1" applyProtection="1">
      <alignment horizontal="centerContinuous" vertical="top"/>
      <protection/>
    </xf>
    <xf numFmtId="0" fontId="9" fillId="33" borderId="0" xfId="63" applyNumberFormat="1" applyFont="1" applyAlignment="1" applyProtection="1">
      <alignment horizontal="centerContinuous" vertical="top"/>
      <protection/>
    </xf>
    <xf numFmtId="0" fontId="24" fillId="33" borderId="0" xfId="63" applyNumberFormat="1" applyFont="1" applyFill="1" applyAlignment="1" applyProtection="1">
      <alignment horizontal="right"/>
      <protection/>
    </xf>
    <xf numFmtId="49" fontId="24" fillId="33" borderId="0" xfId="63" applyNumberFormat="1" applyFont="1" applyFill="1" applyAlignment="1" applyProtection="1">
      <alignment horizontal="right"/>
      <protection/>
    </xf>
    <xf numFmtId="0" fontId="4" fillId="33" borderId="0" xfId="63" applyNumberFormat="1" applyFont="1" applyAlignment="1" applyProtection="1">
      <alignment/>
      <protection/>
    </xf>
    <xf numFmtId="0" fontId="2" fillId="0" borderId="0" xfId="0" applyFont="1" applyAlignment="1" applyProtection="1">
      <alignment/>
      <protection/>
    </xf>
    <xf numFmtId="37" fontId="4" fillId="0" borderId="38" xfId="0" applyNumberFormat="1" applyFont="1" applyBorder="1" applyAlignment="1" applyProtection="1">
      <alignment/>
      <protection locked="0"/>
    </xf>
    <xf numFmtId="0" fontId="2" fillId="0" borderId="0" xfId="0" applyFont="1" applyAlignment="1">
      <alignment wrapText="1"/>
    </xf>
    <xf numFmtId="37" fontId="4" fillId="0" borderId="43"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37" fontId="4" fillId="0" borderId="43" xfId="0" applyNumberFormat="1" applyFont="1" applyBorder="1" applyAlignment="1" applyProtection="1">
      <alignment horizontal="right"/>
      <protection/>
    </xf>
    <xf numFmtId="37" fontId="4" fillId="0" borderId="38" xfId="0" applyNumberFormat="1" applyFont="1" applyBorder="1" applyAlignment="1" applyProtection="1">
      <alignment horizontal="right"/>
      <protection locked="0"/>
    </xf>
    <xf numFmtId="49" fontId="30" fillId="33" borderId="0" xfId="63" applyNumberFormat="1" applyFont="1" applyFill="1" applyAlignment="1" applyProtection="1">
      <alignment horizontal="right"/>
      <protection/>
    </xf>
    <xf numFmtId="0" fontId="2" fillId="0" borderId="0" xfId="0" applyFont="1" applyAlignment="1" applyProtection="1">
      <alignment wrapText="1"/>
      <protection/>
    </xf>
    <xf numFmtId="37" fontId="4" fillId="0" borderId="38" xfId="0" applyNumberFormat="1" applyFont="1" applyBorder="1" applyAlignment="1" applyProtection="1">
      <alignment/>
      <protection locked="0"/>
    </xf>
    <xf numFmtId="0" fontId="2" fillId="0" borderId="0" xfId="0" applyFont="1" applyBorder="1" applyAlignment="1" applyProtection="1">
      <alignment/>
      <protection/>
    </xf>
    <xf numFmtId="0" fontId="8" fillId="0" borderId="15" xfId="0" applyFont="1" applyBorder="1" applyAlignment="1" applyProtection="1">
      <alignment horizontal="center"/>
      <protection/>
    </xf>
    <xf numFmtId="0" fontId="2" fillId="0" borderId="0" xfId="0" applyFont="1" applyBorder="1" applyAlignment="1" applyProtection="1">
      <alignment/>
      <protection/>
    </xf>
    <xf numFmtId="37" fontId="3" fillId="0" borderId="0" xfId="0" applyNumberFormat="1" applyFont="1" applyBorder="1" applyAlignment="1" applyProtection="1">
      <alignment/>
      <protection/>
    </xf>
    <xf numFmtId="0" fontId="6" fillId="0" borderId="0" xfId="0" applyFont="1" applyFill="1" applyBorder="1" applyAlignment="1">
      <alignment/>
    </xf>
    <xf numFmtId="3" fontId="6" fillId="0" borderId="0" xfId="0" applyNumberFormat="1" applyFont="1" applyBorder="1" applyAlignment="1" applyProtection="1">
      <alignment horizontal="left"/>
      <protection/>
    </xf>
    <xf numFmtId="0" fontId="29" fillId="0" borderId="0" xfId="0" applyFont="1" applyAlignment="1" applyProtection="1">
      <alignment/>
      <protection/>
    </xf>
    <xf numFmtId="165" fontId="14" fillId="33" borderId="28" xfId="64" applyNumberFormat="1" applyFont="1" applyFill="1" applyBorder="1" applyAlignment="1" applyProtection="1">
      <alignment horizontal="right"/>
      <protection/>
    </xf>
    <xf numFmtId="37" fontId="8" fillId="33" borderId="0" xfId="63" applyNumberFormat="1" applyFont="1" applyBorder="1" applyAlignment="1" applyProtection="1">
      <alignment/>
      <protection/>
    </xf>
    <xf numFmtId="37" fontId="8" fillId="0" borderId="43" xfId="44" applyNumberFormat="1" applyFont="1" applyBorder="1" applyAlignment="1" applyProtection="1">
      <alignment/>
      <protection locked="0"/>
    </xf>
    <xf numFmtId="0" fontId="29" fillId="0" borderId="0" xfId="0" applyFont="1" applyBorder="1" applyAlignment="1">
      <alignment/>
    </xf>
    <xf numFmtId="49" fontId="4" fillId="0" borderId="10" xfId="0" applyNumberFormat="1" applyFont="1" applyBorder="1" applyAlignment="1" applyProtection="1">
      <alignment horizontal="center"/>
      <protection locked="0"/>
    </xf>
    <xf numFmtId="37" fontId="6" fillId="0" borderId="57" xfId="0" applyNumberFormat="1" applyFont="1" applyBorder="1" applyAlignment="1" applyProtection="1">
      <alignment horizontal="right"/>
      <protection locked="0"/>
    </xf>
    <xf numFmtId="37" fontId="6" fillId="0" borderId="48" xfId="0" applyNumberFormat="1" applyFont="1" applyBorder="1" applyAlignment="1" applyProtection="1">
      <alignment horizontal="right"/>
      <protection/>
    </xf>
    <xf numFmtId="0" fontId="4" fillId="0" borderId="0" xfId="63" applyNumberFormat="1" applyFont="1" applyFill="1" applyAlignment="1" applyProtection="1">
      <alignment/>
      <protection/>
    </xf>
    <xf numFmtId="37" fontId="6" fillId="35" borderId="55" xfId="0" applyNumberFormat="1" applyFont="1" applyFill="1" applyBorder="1" applyAlignment="1" applyProtection="1">
      <alignment horizontal="right"/>
      <protection/>
    </xf>
    <xf numFmtId="0" fontId="0" fillId="35" borderId="39" xfId="0" applyFill="1" applyBorder="1" applyAlignment="1" applyProtection="1">
      <alignment horizontal="right"/>
      <protection/>
    </xf>
    <xf numFmtId="0" fontId="0" fillId="35" borderId="26" xfId="0" applyFill="1" applyBorder="1" applyAlignment="1" applyProtection="1">
      <alignment horizontal="right"/>
      <protection/>
    </xf>
    <xf numFmtId="0" fontId="8" fillId="0" borderId="0" xfId="0" applyFont="1" applyFill="1" applyAlignment="1" applyProtection="1">
      <alignment horizontal="right"/>
      <protection/>
    </xf>
    <xf numFmtId="0" fontId="8" fillId="0" borderId="0" xfId="0" applyFont="1" applyFill="1" applyAlignment="1">
      <alignment/>
    </xf>
    <xf numFmtId="0" fontId="8" fillId="0" borderId="0" xfId="0" applyFont="1" applyFill="1" applyAlignment="1" applyProtection="1">
      <alignment/>
      <protection/>
    </xf>
    <xf numFmtId="0" fontId="12" fillId="0" borderId="17" xfId="0" applyFont="1" applyBorder="1" applyAlignment="1" applyProtection="1">
      <alignment horizontal="center"/>
      <protection/>
    </xf>
    <xf numFmtId="4" fontId="12" fillId="0" borderId="21" xfId="0" applyNumberFormat="1" applyFont="1" applyBorder="1" applyAlignment="1" applyProtection="1">
      <alignment horizontal="right"/>
      <protection/>
    </xf>
    <xf numFmtId="4" fontId="12" fillId="0" borderId="58" xfId="0" applyNumberFormat="1" applyFont="1" applyBorder="1" applyAlignment="1" applyProtection="1">
      <alignment horizontal="right"/>
      <protection/>
    </xf>
    <xf numFmtId="37" fontId="12" fillId="0" borderId="23" xfId="0" applyNumberFormat="1" applyFont="1" applyBorder="1" applyAlignment="1" applyProtection="1">
      <alignment/>
      <protection/>
    </xf>
    <xf numFmtId="4" fontId="12" fillId="0" borderId="16" xfId="0" applyNumberFormat="1" applyFont="1" applyBorder="1" applyAlignment="1" applyProtection="1">
      <alignment horizontal="right"/>
      <protection/>
    </xf>
    <xf numFmtId="4" fontId="12" fillId="0" borderId="59" xfId="0" applyNumberFormat="1" applyFont="1" applyBorder="1" applyAlignment="1" applyProtection="1">
      <alignment horizontal="right"/>
      <protection/>
    </xf>
    <xf numFmtId="37" fontId="12" fillId="0" borderId="17" xfId="0" applyNumberFormat="1" applyFont="1" applyBorder="1" applyAlignment="1" applyProtection="1">
      <alignment/>
      <protection/>
    </xf>
    <xf numFmtId="37" fontId="12" fillId="0" borderId="60" xfId="0" applyNumberFormat="1" applyFont="1" applyBorder="1" applyAlignment="1" applyProtection="1">
      <alignment/>
      <protection/>
    </xf>
    <xf numFmtId="37" fontId="6" fillId="0" borderId="13" xfId="0" applyNumberFormat="1" applyFont="1" applyBorder="1" applyAlignment="1" applyProtection="1">
      <alignment horizontal="right"/>
      <protection/>
    </xf>
    <xf numFmtId="42" fontId="8" fillId="0" borderId="10" xfId="0" applyNumberFormat="1" applyFont="1" applyFill="1" applyBorder="1" applyAlignment="1" applyProtection="1">
      <alignment horizontal="right"/>
      <protection locked="0"/>
    </xf>
    <xf numFmtId="165" fontId="6" fillId="0" borderId="61" xfId="0" applyNumberFormat="1" applyFont="1" applyBorder="1" applyAlignment="1" applyProtection="1">
      <alignment horizontal="right"/>
      <protection/>
    </xf>
    <xf numFmtId="37" fontId="6" fillId="0" borderId="62" xfId="0" applyNumberFormat="1" applyFont="1" applyFill="1" applyBorder="1" applyAlignment="1" applyProtection="1">
      <alignment horizontal="right"/>
      <protection/>
    </xf>
    <xf numFmtId="42" fontId="8" fillId="0" borderId="43" xfId="44" applyNumberFormat="1" applyFont="1" applyBorder="1" applyAlignment="1" applyProtection="1">
      <alignment/>
      <protection locked="0"/>
    </xf>
    <xf numFmtId="0" fontId="4"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164" fontId="9" fillId="0"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19" xfId="0" applyFont="1" applyFill="1" applyBorder="1" applyAlignment="1" applyProtection="1">
      <alignment/>
      <protection locked="0"/>
    </xf>
    <xf numFmtId="37" fontId="6" fillId="0" borderId="48" xfId="0" applyNumberFormat="1" applyFont="1" applyFill="1" applyBorder="1" applyAlignment="1" applyProtection="1">
      <alignment horizontal="right"/>
      <protection/>
    </xf>
    <xf numFmtId="0" fontId="6" fillId="0" borderId="63" xfId="0" applyFont="1" applyFill="1" applyBorder="1" applyAlignment="1" applyProtection="1">
      <alignment/>
      <protection/>
    </xf>
    <xf numFmtId="0" fontId="6" fillId="0" borderId="43" xfId="0" applyFont="1" applyFill="1" applyBorder="1" applyAlignment="1" applyProtection="1">
      <alignment/>
      <protection/>
    </xf>
    <xf numFmtId="165" fontId="6" fillId="0" borderId="64" xfId="0" applyNumberFormat="1" applyFont="1" applyFill="1" applyBorder="1" applyAlignment="1" applyProtection="1">
      <alignment horizontal="right"/>
      <protection/>
    </xf>
    <xf numFmtId="0" fontId="12" fillId="0" borderId="0" xfId="0" applyFont="1" applyFill="1" applyAlignment="1" applyProtection="1">
      <alignment horizontal="right"/>
      <protection/>
    </xf>
    <xf numFmtId="0" fontId="8" fillId="0" borderId="0" xfId="63" applyNumberFormat="1" applyFont="1" applyFill="1" applyProtection="1">
      <alignment/>
      <protection/>
    </xf>
    <xf numFmtId="37" fontId="12" fillId="0" borderId="0" xfId="63" applyNumberFormat="1" applyFont="1" applyFill="1" applyProtection="1">
      <alignment/>
      <protection/>
    </xf>
    <xf numFmtId="0" fontId="2" fillId="0" borderId="0" xfId="0" applyFont="1" applyFill="1" applyAlignment="1" applyProtection="1">
      <alignment/>
      <protection/>
    </xf>
    <xf numFmtId="37" fontId="14" fillId="0" borderId="19" xfId="65" applyNumberFormat="1" applyFont="1" applyFill="1" applyBorder="1" applyProtection="1">
      <alignment/>
      <protection/>
    </xf>
    <xf numFmtId="0" fontId="6" fillId="0" borderId="0" xfId="65" applyNumberFormat="1" applyFont="1" applyFill="1" applyProtection="1">
      <alignment/>
      <protection/>
    </xf>
    <xf numFmtId="37" fontId="14" fillId="0" borderId="39" xfId="65" applyNumberFormat="1" applyFont="1" applyFill="1" applyBorder="1" applyProtection="1">
      <alignment/>
      <protection/>
    </xf>
    <xf numFmtId="37" fontId="14" fillId="0" borderId="11" xfId="65" applyNumberFormat="1" applyFont="1" applyFill="1" applyBorder="1" applyProtection="1">
      <alignment/>
      <protection/>
    </xf>
    <xf numFmtId="172" fontId="8" fillId="0" borderId="43" xfId="0" applyNumberFormat="1" applyFont="1" applyFill="1" applyBorder="1" applyAlignment="1">
      <alignment/>
    </xf>
    <xf numFmtId="37" fontId="8" fillId="0" borderId="43" xfId="0" applyNumberFormat="1" applyFont="1" applyFill="1" applyBorder="1" applyAlignment="1">
      <alignment/>
    </xf>
    <xf numFmtId="0" fontId="8" fillId="0" borderId="0" xfId="0" applyFont="1" applyFill="1" applyAlignment="1" applyProtection="1">
      <alignment/>
      <protection/>
    </xf>
    <xf numFmtId="0" fontId="0" fillId="0" borderId="0" xfId="0" applyFill="1" applyAlignment="1" applyProtection="1">
      <alignment/>
      <protection/>
    </xf>
    <xf numFmtId="49" fontId="4" fillId="0" borderId="10" xfId="0" applyNumberFormat="1" applyFont="1" applyBorder="1" applyAlignment="1" applyProtection="1">
      <alignment horizontal="center"/>
      <protection/>
    </xf>
    <xf numFmtId="49" fontId="6" fillId="33" borderId="10" xfId="64" applyNumberFormat="1" applyFont="1" applyBorder="1" applyAlignment="1" applyProtection="1">
      <alignment horizontal="center"/>
      <protection/>
    </xf>
    <xf numFmtId="0" fontId="0" fillId="0" borderId="0" xfId="0" applyAlignment="1">
      <alignment wrapText="1"/>
    </xf>
    <xf numFmtId="0" fontId="8" fillId="0" borderId="0" xfId="0" applyFont="1" applyFill="1" applyBorder="1" applyAlignment="1" applyProtection="1">
      <alignment horizontal="center"/>
      <protection/>
    </xf>
    <xf numFmtId="0" fontId="0" fillId="0" borderId="0" xfId="0" applyFill="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0" fillId="0" borderId="0" xfId="0" applyFill="1" applyAlignment="1" applyProtection="1">
      <alignment/>
      <protection/>
    </xf>
    <xf numFmtId="42" fontId="8" fillId="0" borderId="38" xfId="44" applyNumberFormat="1" applyFont="1" applyFill="1" applyBorder="1" applyAlignment="1" applyProtection="1">
      <alignment/>
      <protection locked="0"/>
    </xf>
    <xf numFmtId="0" fontId="6" fillId="0" borderId="0" xfId="0" applyFont="1" applyAlignment="1">
      <alignment/>
    </xf>
    <xf numFmtId="0" fontId="8" fillId="0" borderId="22" xfId="0" applyFont="1" applyFill="1" applyBorder="1" applyAlignment="1" applyProtection="1">
      <alignment/>
      <protection/>
    </xf>
    <xf numFmtId="49" fontId="8" fillId="0" borderId="22" xfId="0" applyNumberFormat="1" applyFont="1" applyFill="1" applyBorder="1" applyAlignment="1" applyProtection="1">
      <alignment horizontal="right"/>
      <protection/>
    </xf>
    <xf numFmtId="0" fontId="4" fillId="0" borderId="0" xfId="0" applyFont="1" applyFill="1" applyAlignment="1">
      <alignment horizontal="right" wrapText="1"/>
    </xf>
    <xf numFmtId="0" fontId="9" fillId="0" borderId="0" xfId="0" applyFont="1" applyFill="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centerContinuous"/>
      <protection/>
    </xf>
    <xf numFmtId="164" fontId="4" fillId="0" borderId="0" xfId="0" applyNumberFormat="1" applyFont="1" applyFill="1" applyBorder="1" applyAlignment="1" applyProtection="1">
      <alignment horizontal="center"/>
      <protection/>
    </xf>
    <xf numFmtId="0" fontId="3" fillId="0" borderId="0" xfId="0" applyFont="1" applyFill="1" applyAlignment="1">
      <alignment/>
    </xf>
    <xf numFmtId="0" fontId="0" fillId="0" borderId="0" xfId="0" applyFill="1" applyAlignment="1">
      <alignment wrapText="1"/>
    </xf>
    <xf numFmtId="37" fontId="4" fillId="0" borderId="0" xfId="0" applyNumberFormat="1" applyFont="1" applyFill="1" applyBorder="1" applyAlignment="1" applyProtection="1">
      <alignment horizontal="right"/>
      <protection/>
    </xf>
    <xf numFmtId="42" fontId="4" fillId="0" borderId="10" xfId="0" applyNumberFormat="1" applyFont="1" applyBorder="1" applyAlignment="1" applyProtection="1">
      <alignment/>
      <protection locked="0"/>
    </xf>
    <xf numFmtId="0" fontId="8" fillId="0" borderId="0" xfId="0" applyFont="1" applyFill="1" applyAlignment="1">
      <alignment vertical="top"/>
    </xf>
    <xf numFmtId="0" fontId="8" fillId="0" borderId="0" xfId="0" applyFont="1" applyFill="1" applyAlignment="1">
      <alignment/>
    </xf>
    <xf numFmtId="0" fontId="33" fillId="0" borderId="0" xfId="0" applyFont="1" applyFill="1" applyAlignment="1" applyProtection="1">
      <alignment/>
      <protection/>
    </xf>
    <xf numFmtId="0" fontId="24" fillId="0" borderId="0" xfId="0" applyFont="1" applyFill="1" applyBorder="1" applyAlignment="1" applyProtection="1">
      <alignment horizontal="left"/>
      <protection/>
    </xf>
    <xf numFmtId="0" fontId="24" fillId="0" borderId="0" xfId="0" applyFont="1" applyFill="1" applyAlignment="1" applyProtection="1">
      <alignment/>
      <protection/>
    </xf>
    <xf numFmtId="42" fontId="24" fillId="0" borderId="10" xfId="0" applyNumberFormat="1" applyFont="1" applyFill="1" applyBorder="1" applyAlignment="1" applyProtection="1">
      <alignment horizontal="right"/>
      <protection locked="0"/>
    </xf>
    <xf numFmtId="0" fontId="24" fillId="0" borderId="0" xfId="0" applyFont="1" applyFill="1" applyAlignment="1">
      <alignment/>
    </xf>
    <xf numFmtId="0" fontId="33" fillId="0" borderId="0" xfId="0" applyFont="1" applyFill="1" applyAlignment="1">
      <alignment/>
    </xf>
    <xf numFmtId="0" fontId="9"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lignment/>
    </xf>
    <xf numFmtId="49" fontId="8" fillId="0" borderId="0" xfId="0" applyNumberFormat="1" applyFont="1" applyFill="1" applyAlignment="1" applyProtection="1">
      <alignment horizontal="right"/>
      <protection/>
    </xf>
    <xf numFmtId="0" fontId="3" fillId="0" borderId="0" xfId="0" applyFont="1" applyFill="1" applyAlignment="1" applyProtection="1">
      <alignment/>
      <protection/>
    </xf>
    <xf numFmtId="0" fontId="0" fillId="0" borderId="0" xfId="0" applyAlignment="1">
      <alignment horizontal="left"/>
    </xf>
    <xf numFmtId="0" fontId="0" fillId="0" borderId="0" xfId="0" applyAlignment="1" applyProtection="1">
      <alignment horizontal="left"/>
      <protection/>
    </xf>
    <xf numFmtId="49" fontId="8" fillId="0" borderId="14" xfId="0" applyNumberFormat="1" applyFont="1" applyBorder="1" applyAlignment="1" applyProtection="1">
      <alignment horizontal="left"/>
      <protection/>
    </xf>
    <xf numFmtId="49" fontId="8" fillId="0" borderId="14" xfId="0" applyNumberFormat="1" applyFont="1" applyBorder="1" applyAlignment="1" applyProtection="1" quotePrefix="1">
      <alignment horizontal="left"/>
      <protection/>
    </xf>
    <xf numFmtId="49" fontId="8" fillId="0" borderId="0" xfId="0" applyNumberFormat="1" applyFont="1" applyAlignment="1" applyProtection="1">
      <alignment horizontal="left"/>
      <protection/>
    </xf>
    <xf numFmtId="49" fontId="3" fillId="0" borderId="0" xfId="0" applyNumberFormat="1" applyFont="1" applyAlignment="1" applyProtection="1">
      <alignment horizontal="left"/>
      <protection/>
    </xf>
    <xf numFmtId="49" fontId="8" fillId="0" borderId="14" xfId="0" applyNumberFormat="1" applyFont="1" applyFill="1" applyBorder="1" applyAlignment="1" applyProtection="1">
      <alignment horizontal="left"/>
      <protection/>
    </xf>
    <xf numFmtId="3" fontId="8" fillId="0" borderId="20" xfId="0" applyNumberFormat="1" applyFont="1" applyFill="1" applyBorder="1" applyAlignment="1" applyProtection="1">
      <alignment horizontal="right"/>
      <protection locked="0"/>
    </xf>
    <xf numFmtId="37" fontId="4" fillId="0" borderId="0" xfId="42" applyNumberFormat="1" applyFont="1" applyFill="1" applyBorder="1" applyAlignment="1" applyProtection="1">
      <alignment horizontal="right"/>
      <protection/>
    </xf>
    <xf numFmtId="0" fontId="3" fillId="0" borderId="0" xfId="0" applyFont="1" applyAlignment="1">
      <alignment horizontal="left"/>
    </xf>
    <xf numFmtId="0" fontId="0" fillId="0" borderId="14" xfId="0" applyBorder="1" applyAlignment="1" applyProtection="1">
      <alignment horizontal="left"/>
      <protection/>
    </xf>
    <xf numFmtId="49" fontId="8" fillId="0" borderId="0" xfId="0" applyNumberFormat="1" applyFont="1" applyAlignment="1" applyProtection="1" quotePrefix="1">
      <alignment horizontal="left"/>
      <protection/>
    </xf>
    <xf numFmtId="0" fontId="0" fillId="0" borderId="0" xfId="0" applyFill="1" applyBorder="1" applyAlignment="1" applyProtection="1">
      <alignment horizontal="left"/>
      <protection/>
    </xf>
    <xf numFmtId="0" fontId="0" fillId="0" borderId="0" xfId="0" applyFill="1" applyBorder="1" applyAlignment="1">
      <alignment horizontal="left"/>
    </xf>
    <xf numFmtId="0" fontId="10" fillId="0" borderId="0" xfId="0" applyFont="1" applyFill="1" applyBorder="1" applyAlignment="1" applyProtection="1">
      <alignment/>
      <protection/>
    </xf>
    <xf numFmtId="0" fontId="15" fillId="0" borderId="0" xfId="0" applyFont="1" applyAlignment="1" applyProtection="1">
      <alignment/>
      <protection/>
    </xf>
    <xf numFmtId="37" fontId="8" fillId="0" borderId="28" xfId="0" applyNumberFormat="1" applyFont="1" applyFill="1" applyBorder="1" applyAlignment="1" applyProtection="1">
      <alignment/>
      <protection/>
    </xf>
    <xf numFmtId="0" fontId="15" fillId="33" borderId="0" xfId="64" applyNumberFormat="1" applyFont="1" applyBorder="1" applyAlignment="1" applyProtection="1">
      <alignment horizontal="center"/>
      <protection/>
    </xf>
    <xf numFmtId="49" fontId="4" fillId="0" borderId="10" xfId="0" applyNumberFormat="1" applyFont="1" applyBorder="1" applyAlignment="1" applyProtection="1">
      <alignment horizontal="left"/>
      <protection/>
    </xf>
    <xf numFmtId="49" fontId="4" fillId="0" borderId="38" xfId="0" applyNumberFormat="1" applyFont="1" applyBorder="1" applyAlignment="1" applyProtection="1">
      <alignment horizontal="left"/>
      <protection/>
    </xf>
    <xf numFmtId="49" fontId="12" fillId="0" borderId="0" xfId="0" applyNumberFormat="1" applyFont="1" applyFill="1" applyAlignment="1" applyProtection="1">
      <alignment horizontal="left"/>
      <protection/>
    </xf>
    <xf numFmtId="0" fontId="0" fillId="0" borderId="0" xfId="0" applyBorder="1" applyAlignment="1">
      <alignment horizontal="left"/>
    </xf>
    <xf numFmtId="0" fontId="4" fillId="0" borderId="0" xfId="0" applyNumberFormat="1" applyFont="1" applyBorder="1" applyAlignment="1" applyProtection="1">
      <alignment horizontal="center"/>
      <protection/>
    </xf>
    <xf numFmtId="0" fontId="4" fillId="0" borderId="0" xfId="0" applyFont="1" applyBorder="1" applyAlignment="1">
      <alignment horizontal="center"/>
    </xf>
    <xf numFmtId="0" fontId="8" fillId="0" borderId="10" xfId="0" applyFont="1" applyFill="1" applyBorder="1" applyAlignment="1" applyProtection="1">
      <alignment/>
      <protection/>
    </xf>
    <xf numFmtId="0" fontId="4" fillId="0" borderId="0" xfId="0" applyFont="1" applyFill="1" applyBorder="1" applyAlignment="1" applyProtection="1">
      <alignment vertical="top" wrapText="1"/>
      <protection/>
    </xf>
    <xf numFmtId="0" fontId="0" fillId="0" borderId="0" xfId="0" applyBorder="1" applyAlignment="1">
      <alignment/>
    </xf>
    <xf numFmtId="0" fontId="2" fillId="0" borderId="0" xfId="0" applyFont="1" applyBorder="1" applyAlignment="1" applyProtection="1">
      <alignment horizontal="right"/>
      <protection/>
    </xf>
    <xf numFmtId="37" fontId="8" fillId="0" borderId="38" xfId="42" applyNumberFormat="1" applyFont="1" applyBorder="1" applyAlignment="1" applyProtection="1">
      <alignment/>
      <protection/>
    </xf>
    <xf numFmtId="37" fontId="8" fillId="0" borderId="38" xfId="42" applyNumberFormat="1" applyFont="1" applyBorder="1" applyAlignment="1" applyProtection="1">
      <alignment/>
      <protection locked="0"/>
    </xf>
    <xf numFmtId="172" fontId="8" fillId="0" borderId="38" xfId="0" applyNumberFormat="1" applyFont="1" applyBorder="1" applyAlignment="1" applyProtection="1">
      <alignment/>
      <protection/>
    </xf>
    <xf numFmtId="172" fontId="8" fillId="0" borderId="0" xfId="0" applyNumberFormat="1" applyFont="1" applyAlignment="1" applyProtection="1">
      <alignment/>
      <protection/>
    </xf>
    <xf numFmtId="37" fontId="8" fillId="0" borderId="38" xfId="42" applyNumberFormat="1" applyFont="1" applyBorder="1" applyAlignment="1">
      <alignment/>
    </xf>
    <xf numFmtId="37" fontId="8" fillId="0" borderId="43" xfId="42" applyNumberFormat="1" applyFont="1" applyBorder="1" applyAlignment="1">
      <alignment/>
    </xf>
    <xf numFmtId="37" fontId="8" fillId="0" borderId="0" xfId="42" applyNumberFormat="1" applyFont="1" applyAlignment="1">
      <alignment/>
    </xf>
    <xf numFmtId="0" fontId="9" fillId="0" borderId="0" xfId="0" applyFont="1" applyFill="1" applyBorder="1" applyAlignment="1" applyProtection="1">
      <alignment horizontal="right"/>
      <protection/>
    </xf>
    <xf numFmtId="0" fontId="4" fillId="0" borderId="10" xfId="0" applyFont="1" applyFill="1" applyBorder="1" applyAlignment="1">
      <alignment horizontal="center"/>
    </xf>
    <xf numFmtId="0" fontId="9" fillId="0" borderId="0" xfId="0" applyFont="1" applyFill="1" applyAlignment="1" applyProtection="1">
      <alignment horizontal="right"/>
      <protection/>
    </xf>
    <xf numFmtId="0" fontId="24" fillId="0" borderId="0" xfId="0" applyFont="1" applyFill="1" applyAlignment="1">
      <alignment horizontal="right" wrapText="1"/>
    </xf>
    <xf numFmtId="0" fontId="4" fillId="0" borderId="38" xfId="0" applyFont="1" applyFill="1" applyBorder="1" applyAlignment="1">
      <alignment horizontal="center"/>
    </xf>
    <xf numFmtId="0" fontId="9" fillId="0" borderId="0" xfId="0" applyNumberFormat="1" applyFont="1" applyFill="1" applyBorder="1" applyAlignment="1" applyProtection="1">
      <alignment horizontal="right"/>
      <protection/>
    </xf>
    <xf numFmtId="0" fontId="9" fillId="0" borderId="0" xfId="0" applyFont="1" applyFill="1" applyAlignment="1">
      <alignment horizontal="right"/>
    </xf>
    <xf numFmtId="37" fontId="8" fillId="0" borderId="28" xfId="0" applyNumberFormat="1" applyFont="1" applyFill="1" applyBorder="1" applyAlignment="1" applyProtection="1">
      <alignment/>
      <protection locked="0"/>
    </xf>
    <xf numFmtId="37" fontId="22" fillId="0" borderId="0" xfId="63" applyNumberFormat="1" applyFont="1" applyFill="1" applyAlignment="1" applyProtection="1">
      <alignment horizontal="right"/>
      <protection/>
    </xf>
    <xf numFmtId="37" fontId="12" fillId="0" borderId="65" xfId="63" applyNumberFormat="1" applyFont="1" applyFill="1" applyBorder="1" applyAlignment="1" applyProtection="1">
      <alignment horizontal="center"/>
      <protection/>
    </xf>
    <xf numFmtId="49" fontId="8" fillId="0" borderId="0" xfId="63" applyNumberFormat="1" applyFont="1" applyFill="1" applyAlignment="1" applyProtection="1">
      <alignment horizontal="left" vertical="top"/>
      <protection/>
    </xf>
    <xf numFmtId="0" fontId="4" fillId="0" borderId="65" xfId="0" applyFont="1" applyFill="1" applyBorder="1" applyAlignment="1" applyProtection="1">
      <alignment horizontal="center"/>
      <protection/>
    </xf>
    <xf numFmtId="0" fontId="4" fillId="0" borderId="0" xfId="63" applyNumberFormat="1" applyFont="1" applyFill="1" applyBorder="1" applyAlignment="1" applyProtection="1">
      <alignment vertical="top"/>
      <protection/>
    </xf>
    <xf numFmtId="0" fontId="0" fillId="0" borderId="0" xfId="0" applyFill="1" applyBorder="1" applyAlignment="1">
      <alignment vertical="top"/>
    </xf>
    <xf numFmtId="0" fontId="9" fillId="0" borderId="0" xfId="0" applyFont="1" applyFill="1" applyBorder="1" applyAlignment="1">
      <alignment horizontal="right"/>
    </xf>
    <xf numFmtId="0" fontId="15" fillId="0" borderId="0" xfId="0" applyFont="1" applyFill="1" applyAlignment="1" applyProtection="1">
      <alignment horizontal="right" wrapText="1"/>
      <protection/>
    </xf>
    <xf numFmtId="0" fontId="6" fillId="0" borderId="65" xfId="0" applyFont="1" applyFill="1" applyBorder="1" applyAlignment="1" applyProtection="1">
      <alignment horizontal="center" wrapText="1"/>
      <protection/>
    </xf>
    <xf numFmtId="0" fontId="15" fillId="0" borderId="38" xfId="64" applyNumberFormat="1" applyFont="1" applyFill="1" applyBorder="1" applyAlignment="1" applyProtection="1">
      <alignment horizontal="center"/>
      <protection locked="0"/>
    </xf>
    <xf numFmtId="49" fontId="15" fillId="0" borderId="38" xfId="0" applyNumberFormat="1" applyFont="1" applyFill="1" applyBorder="1" applyAlignment="1" applyProtection="1">
      <alignment horizontal="center"/>
      <protection locked="0"/>
    </xf>
    <xf numFmtId="0" fontId="15" fillId="0" borderId="38" xfId="0" applyFont="1" applyFill="1" applyBorder="1" applyAlignment="1" applyProtection="1">
      <alignment/>
      <protection locked="0"/>
    </xf>
    <xf numFmtId="37" fontId="13" fillId="0" borderId="0" xfId="65" applyNumberFormat="1" applyFont="1" applyFill="1" applyAlignment="1" applyProtection="1">
      <alignment horizontal="right"/>
      <protection/>
    </xf>
    <xf numFmtId="0" fontId="4" fillId="0" borderId="65" xfId="0" applyFont="1" applyFill="1" applyBorder="1" applyAlignment="1" applyProtection="1">
      <alignment horizontal="centerContinuous"/>
      <protection/>
    </xf>
    <xf numFmtId="49" fontId="8" fillId="0" borderId="0" xfId="0" applyNumberFormat="1" applyFont="1" applyFill="1" applyAlignment="1" applyProtection="1">
      <alignment horizontal="left"/>
      <protection/>
    </xf>
    <xf numFmtId="49" fontId="8" fillId="0" borderId="0" xfId="0" applyNumberFormat="1" applyFont="1" applyAlignment="1">
      <alignment horizontal="left"/>
    </xf>
    <xf numFmtId="3" fontId="8" fillId="36" borderId="28" xfId="0" applyNumberFormat="1" applyFont="1" applyFill="1" applyBorder="1" applyAlignment="1" applyProtection="1">
      <alignment horizontal="right"/>
      <protection/>
    </xf>
    <xf numFmtId="0" fontId="6" fillId="33" borderId="0" xfId="65" applyNumberFormat="1" applyFont="1" applyBorder="1" applyAlignment="1" applyProtection="1">
      <alignment horizontal="center"/>
      <protection/>
    </xf>
    <xf numFmtId="166" fontId="14" fillId="33" borderId="0" xfId="65" applyNumberFormat="1" applyFont="1" applyFill="1" applyBorder="1" applyAlignment="1" applyProtection="1">
      <alignment horizontal="right"/>
      <protection/>
    </xf>
    <xf numFmtId="37" fontId="8" fillId="0" borderId="10" xfId="0" applyNumberFormat="1" applyFont="1" applyBorder="1" applyAlignment="1" applyProtection="1">
      <alignment/>
      <protection/>
    </xf>
    <xf numFmtId="37" fontId="14" fillId="33" borderId="0" xfId="64" applyNumberFormat="1" applyFont="1" applyFill="1" applyBorder="1" applyProtection="1">
      <alignment/>
      <protection/>
    </xf>
    <xf numFmtId="0" fontId="6" fillId="33" borderId="0" xfId="64" applyNumberFormat="1" applyFont="1" applyBorder="1" applyAlignment="1" applyProtection="1">
      <alignment horizontal="left"/>
      <protection/>
    </xf>
    <xf numFmtId="0" fontId="8" fillId="0" borderId="0" xfId="0" applyFont="1" applyFill="1" applyAlignment="1">
      <alignment wrapText="1"/>
    </xf>
    <xf numFmtId="0" fontId="8" fillId="0" borderId="0" xfId="0" applyFont="1" applyFill="1" applyAlignment="1">
      <alignment horizontal="right"/>
    </xf>
    <xf numFmtId="49" fontId="8" fillId="0" borderId="10" xfId="0" applyNumberFormat="1" applyFont="1" applyFill="1" applyBorder="1" applyAlignment="1" applyProtection="1">
      <alignment horizontal="right"/>
      <protection/>
    </xf>
    <xf numFmtId="0" fontId="15" fillId="0" borderId="19" xfId="64" applyNumberFormat="1" applyFont="1" applyFill="1" applyBorder="1" applyProtection="1">
      <alignment/>
      <protection/>
    </xf>
    <xf numFmtId="0" fontId="15" fillId="0" borderId="0" xfId="64" applyNumberFormat="1" applyFont="1" applyFill="1" applyProtection="1">
      <alignment/>
      <protection/>
    </xf>
    <xf numFmtId="37" fontId="14" fillId="0" borderId="28" xfId="64" applyNumberFormat="1" applyFont="1" applyFill="1" applyBorder="1" applyProtection="1">
      <alignment/>
      <protection/>
    </xf>
    <xf numFmtId="37" fontId="6" fillId="0" borderId="28" xfId="64" applyNumberFormat="1" applyFont="1" applyFill="1" applyBorder="1" applyProtection="1">
      <alignment/>
      <protection/>
    </xf>
    <xf numFmtId="37" fontId="14" fillId="0" borderId="20" xfId="64" applyNumberFormat="1" applyFont="1" applyFill="1" applyBorder="1" applyProtection="1">
      <alignment/>
      <protection/>
    </xf>
    <xf numFmtId="165" fontId="14" fillId="0" borderId="28" xfId="64" applyNumberFormat="1" applyFont="1" applyFill="1" applyBorder="1" applyAlignment="1" applyProtection="1">
      <alignment horizontal="right"/>
      <protection/>
    </xf>
    <xf numFmtId="37" fontId="14" fillId="0" borderId="13" xfId="65" applyNumberFormat="1" applyFont="1" applyFill="1" applyBorder="1" applyProtection="1">
      <alignment/>
      <protection/>
    </xf>
    <xf numFmtId="0" fontId="34" fillId="0" borderId="0" xfId="0" applyFont="1" applyAlignment="1" applyProtection="1">
      <alignment/>
      <protection hidden="1"/>
    </xf>
    <xf numFmtId="0" fontId="8" fillId="0" borderId="0" xfId="0" applyFont="1" applyFill="1" applyAlignment="1" applyProtection="1">
      <alignment horizontal="centerContinuous"/>
      <protection/>
    </xf>
    <xf numFmtId="0" fontId="8" fillId="0" borderId="14" xfId="0" applyFont="1" applyFill="1" applyBorder="1" applyAlignment="1" applyProtection="1">
      <alignment/>
      <protection/>
    </xf>
    <xf numFmtId="0" fontId="8" fillId="0" borderId="16" xfId="0" applyFont="1" applyFill="1" applyBorder="1" applyAlignment="1" applyProtection="1">
      <alignment/>
      <protection/>
    </xf>
    <xf numFmtId="0" fontId="8" fillId="0" borderId="0" xfId="0" applyFont="1" applyFill="1" applyAlignment="1">
      <alignment horizontal="left"/>
    </xf>
    <xf numFmtId="49" fontId="8" fillId="0" borderId="0" xfId="0" applyNumberFormat="1" applyFont="1" applyFill="1" applyAlignment="1">
      <alignment horizontal="right"/>
    </xf>
    <xf numFmtId="37" fontId="14" fillId="0" borderId="14" xfId="65" applyNumberFormat="1" applyFont="1" applyFill="1" applyBorder="1" applyProtection="1">
      <alignment/>
      <protection/>
    </xf>
    <xf numFmtId="37" fontId="14" fillId="0" borderId="0" xfId="65" applyNumberFormat="1" applyFont="1" applyFill="1" applyProtection="1">
      <alignment/>
      <protection/>
    </xf>
    <xf numFmtId="42" fontId="8" fillId="0" borderId="38" xfId="0" applyNumberFormat="1" applyFont="1" applyBorder="1" applyAlignment="1" applyProtection="1">
      <alignment horizontal="right"/>
      <protection locked="0"/>
    </xf>
    <xf numFmtId="0" fontId="6" fillId="0" borderId="14" xfId="0" applyFont="1" applyFill="1" applyBorder="1" applyAlignment="1" applyProtection="1">
      <alignment/>
      <protection/>
    </xf>
    <xf numFmtId="0" fontId="15" fillId="0" borderId="19" xfId="63" applyFont="1" applyFill="1" applyBorder="1" applyProtection="1">
      <alignment/>
      <protection/>
    </xf>
    <xf numFmtId="49" fontId="3" fillId="0" borderId="12" xfId="0" applyNumberFormat="1" applyFont="1" applyBorder="1" applyAlignment="1" applyProtection="1">
      <alignment/>
      <protection/>
    </xf>
    <xf numFmtId="0" fontId="8" fillId="0" borderId="10" xfId="0" applyFont="1" applyFill="1" applyBorder="1" applyAlignment="1" applyProtection="1">
      <alignment horizontal="center"/>
      <protection/>
    </xf>
    <xf numFmtId="0" fontId="8" fillId="0" borderId="16" xfId="0" applyFont="1" applyFill="1" applyBorder="1" applyAlignment="1" applyProtection="1">
      <alignment horizontal="center"/>
      <protection/>
    </xf>
    <xf numFmtId="0" fontId="8" fillId="0" borderId="0" xfId="0" applyFont="1" applyFill="1" applyAlignment="1">
      <alignment horizontal="centerContinuous"/>
    </xf>
    <xf numFmtId="0" fontId="8" fillId="0" borderId="0" xfId="0" applyFont="1" applyFill="1" applyAlignment="1" applyProtection="1">
      <alignment horizontal="center"/>
      <protection/>
    </xf>
    <xf numFmtId="0" fontId="6" fillId="0" borderId="48" xfId="0" applyFont="1" applyFill="1" applyBorder="1" applyAlignment="1" applyProtection="1">
      <alignment horizontal="center"/>
      <protection/>
    </xf>
    <xf numFmtId="0" fontId="6" fillId="0" borderId="0" xfId="0" applyFont="1" applyFill="1" applyAlignment="1">
      <alignment/>
    </xf>
    <xf numFmtId="0" fontId="8" fillId="0" borderId="20" xfId="0" applyFont="1" applyFill="1" applyBorder="1" applyAlignment="1" applyProtection="1">
      <alignment horizontal="center"/>
      <protection/>
    </xf>
    <xf numFmtId="37" fontId="12" fillId="0" borderId="0" xfId="63" applyNumberFormat="1" applyFont="1" applyFill="1" applyAlignment="1" applyProtection="1">
      <alignment horizontal="left"/>
      <protection/>
    </xf>
    <xf numFmtId="37" fontId="12" fillId="0" borderId="0" xfId="63" applyNumberFormat="1" applyFont="1" applyFill="1" applyAlignment="1" applyProtection="1">
      <alignment horizontal="left" vertical="top"/>
      <protection/>
    </xf>
    <xf numFmtId="0" fontId="9" fillId="0" borderId="0" xfId="0" applyFont="1" applyFill="1" applyAlignment="1" applyProtection="1">
      <alignment horizontal="centerContinuous"/>
      <protection/>
    </xf>
    <xf numFmtId="0" fontId="4" fillId="0" borderId="0" xfId="0" applyFont="1" applyFill="1" applyAlignment="1" applyProtection="1">
      <alignment/>
      <protection/>
    </xf>
    <xf numFmtId="0" fontId="2" fillId="0" borderId="0" xfId="0" applyFont="1" applyFill="1" applyAlignment="1" applyProtection="1">
      <alignment wrapText="1"/>
      <protection/>
    </xf>
    <xf numFmtId="0" fontId="10" fillId="0" borderId="0" xfId="0" applyFont="1" applyFill="1" applyAlignment="1">
      <alignment/>
    </xf>
    <xf numFmtId="0" fontId="25" fillId="0" borderId="0" xfId="0" applyFont="1" applyFill="1" applyAlignment="1">
      <alignment wrapText="1"/>
    </xf>
    <xf numFmtId="0" fontId="34" fillId="0" borderId="0" xfId="0" applyFont="1" applyAlignment="1">
      <alignment/>
    </xf>
    <xf numFmtId="0" fontId="8" fillId="0" borderId="0" xfId="0" applyFont="1" applyFill="1" applyAlignment="1" applyProtection="1">
      <alignment horizontal="left"/>
      <protection/>
    </xf>
    <xf numFmtId="0" fontId="8" fillId="0" borderId="18" xfId="0" applyFont="1" applyFill="1" applyBorder="1" applyAlignment="1" applyProtection="1">
      <alignment horizontal="center"/>
      <protection/>
    </xf>
    <xf numFmtId="0" fontId="6" fillId="0" borderId="45"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left" wrapText="1"/>
      <protection/>
    </xf>
    <xf numFmtId="0" fontId="8" fillId="0" borderId="13" xfId="0" applyFont="1" applyFill="1" applyBorder="1" applyAlignment="1" applyProtection="1">
      <alignment horizontal="center"/>
      <protection/>
    </xf>
    <xf numFmtId="37" fontId="13" fillId="0" borderId="0" xfId="64" applyNumberFormat="1" applyFont="1" applyFill="1" applyProtection="1">
      <alignment/>
      <protection/>
    </xf>
    <xf numFmtId="37" fontId="13" fillId="0" borderId="0" xfId="64" applyNumberFormat="1" applyFont="1" applyFill="1" applyAlignment="1" applyProtection="1">
      <alignment horizontal="left"/>
      <protection/>
    </xf>
    <xf numFmtId="49" fontId="8" fillId="0" borderId="0" xfId="0" applyNumberFormat="1" applyFont="1" applyAlignment="1">
      <alignment/>
    </xf>
    <xf numFmtId="0" fontId="8" fillId="0" borderId="0" xfId="0" applyNumberFormat="1" applyFont="1" applyFill="1" applyAlignment="1" quotePrefix="1">
      <alignment horizontal="right" vertical="top"/>
    </xf>
    <xf numFmtId="49" fontId="8" fillId="0" borderId="0" xfId="0" applyNumberFormat="1" applyFont="1" applyAlignment="1" quotePrefix="1">
      <alignment/>
    </xf>
    <xf numFmtId="37" fontId="8" fillId="0" borderId="0" xfId="63" applyNumberFormat="1" applyFont="1" applyFill="1" applyProtection="1">
      <alignment/>
      <protection/>
    </xf>
    <xf numFmtId="49" fontId="8" fillId="0" borderId="0" xfId="0" applyNumberFormat="1" applyFont="1" applyFill="1" applyAlignment="1" quotePrefix="1">
      <alignment/>
    </xf>
    <xf numFmtId="37" fontId="12" fillId="0" borderId="0" xfId="63" applyNumberFormat="1" applyFont="1" applyFill="1" applyAlignment="1" applyProtection="1">
      <alignment horizontal="centerContinuous"/>
      <protection/>
    </xf>
    <xf numFmtId="37" fontId="4" fillId="0" borderId="38" xfId="0" applyNumberFormat="1" applyFont="1" applyBorder="1" applyAlignment="1" applyProtection="1">
      <alignment wrapText="1"/>
      <protection/>
    </xf>
    <xf numFmtId="0" fontId="6" fillId="33" borderId="15" xfId="65" applyNumberFormat="1" applyFont="1" applyBorder="1" applyAlignment="1" applyProtection="1">
      <alignment horizontal="right"/>
      <protection/>
    </xf>
    <xf numFmtId="37" fontId="12" fillId="0" borderId="0" xfId="63" applyNumberFormat="1" applyFont="1" applyFill="1" applyAlignment="1" applyProtection="1">
      <alignment horizontal="left" wrapText="1"/>
      <protection/>
    </xf>
    <xf numFmtId="37" fontId="12" fillId="0" borderId="0" xfId="63" applyNumberFormat="1" applyFont="1" applyFill="1" applyBorder="1" applyProtection="1">
      <alignment/>
      <protection/>
    </xf>
    <xf numFmtId="37" fontId="12" fillId="0" borderId="0" xfId="63" applyNumberFormat="1" applyFont="1" applyFill="1" applyBorder="1" applyAlignment="1" applyProtection="1">
      <alignment horizontal="centerContinuous"/>
      <protection/>
    </xf>
    <xf numFmtId="37" fontId="23" fillId="0" borderId="0" xfId="63" applyNumberFormat="1" applyFont="1" applyFill="1" applyBorder="1" applyProtection="1">
      <alignment/>
      <protection/>
    </xf>
    <xf numFmtId="0" fontId="8" fillId="0" borderId="0" xfId="63" applyNumberFormat="1" applyFont="1" applyFill="1" applyBorder="1" applyProtection="1">
      <alignment/>
      <protection/>
    </xf>
    <xf numFmtId="165" fontId="8" fillId="0" borderId="28" xfId="0" applyNumberFormat="1" applyFont="1" applyFill="1" applyBorder="1" applyAlignment="1" applyProtection="1">
      <alignment/>
      <protection/>
    </xf>
    <xf numFmtId="172" fontId="8" fillId="0" borderId="36" xfId="0" applyNumberFormat="1" applyFont="1" applyBorder="1" applyAlignment="1" applyProtection="1">
      <alignment/>
      <protection/>
    </xf>
    <xf numFmtId="3" fontId="8" fillId="35" borderId="28" xfId="0" applyNumberFormat="1" applyFont="1" applyFill="1" applyBorder="1" applyAlignment="1" applyProtection="1">
      <alignment/>
      <protection/>
    </xf>
    <xf numFmtId="37" fontId="12" fillId="33" borderId="24" xfId="63" applyNumberFormat="1" applyFont="1" applyFill="1" applyBorder="1" applyAlignment="1" applyProtection="1">
      <alignment/>
      <protection/>
    </xf>
    <xf numFmtId="0" fontId="18" fillId="33" borderId="0" xfId="63" applyNumberFormat="1" applyBorder="1">
      <alignment/>
      <protection/>
    </xf>
    <xf numFmtId="0" fontId="0" fillId="0" borderId="0" xfId="0" applyAlignment="1" applyProtection="1">
      <alignment horizontal="justify" wrapText="1"/>
      <protection/>
    </xf>
    <xf numFmtId="166" fontId="14" fillId="33" borderId="23" xfId="65" applyNumberFormat="1" applyFont="1" applyFill="1" applyBorder="1" applyAlignment="1" applyProtection="1">
      <alignment horizontal="right"/>
      <protection locked="0"/>
    </xf>
    <xf numFmtId="0" fontId="6" fillId="33" borderId="17" xfId="65" applyNumberFormat="1" applyFont="1" applyBorder="1" applyAlignment="1" applyProtection="1">
      <alignment horizontal="right"/>
      <protection/>
    </xf>
    <xf numFmtId="172" fontId="8" fillId="0" borderId="28" xfId="0" applyNumberFormat="1" applyFont="1" applyFill="1" applyBorder="1" applyAlignment="1" applyProtection="1">
      <alignment/>
      <protection locked="0"/>
    </xf>
    <xf numFmtId="0" fontId="18" fillId="0" borderId="0" xfId="63" applyNumberFormat="1" applyFill="1" applyBorder="1">
      <alignment/>
      <protection/>
    </xf>
    <xf numFmtId="0" fontId="8" fillId="0" borderId="0" xfId="63" applyNumberFormat="1" applyFont="1" applyFill="1" applyBorder="1" applyAlignment="1">
      <alignment horizontal="right"/>
      <protection/>
    </xf>
    <xf numFmtId="0" fontId="8" fillId="0" borderId="0" xfId="63" applyNumberFormat="1" applyFont="1" applyFill="1" applyBorder="1">
      <alignment/>
      <protection/>
    </xf>
    <xf numFmtId="0" fontId="8" fillId="0" borderId="0" xfId="63" applyNumberFormat="1" applyFont="1" applyFill="1" applyBorder="1" applyAlignment="1">
      <alignment/>
      <protection/>
    </xf>
    <xf numFmtId="0" fontId="8" fillId="0" borderId="0" xfId="63" applyNumberFormat="1" applyFont="1" applyFill="1" applyBorder="1" applyAlignment="1" quotePrefix="1">
      <alignment horizontal="justify"/>
      <protection/>
    </xf>
    <xf numFmtId="3" fontId="8" fillId="0" borderId="28" xfId="0" applyNumberFormat="1" applyFont="1" applyFill="1" applyBorder="1" applyAlignment="1" applyProtection="1">
      <alignment/>
      <protection locked="0"/>
    </xf>
    <xf numFmtId="0" fontId="10" fillId="0" borderId="0" xfId="0" applyFont="1" applyFill="1" applyAlignment="1" applyProtection="1">
      <alignment horizontal="center"/>
      <protection/>
    </xf>
    <xf numFmtId="37" fontId="8" fillId="0" borderId="0" xfId="0" applyNumberFormat="1" applyFont="1" applyFill="1" applyBorder="1" applyAlignment="1">
      <alignment horizontal="right"/>
    </xf>
    <xf numFmtId="0" fontId="8" fillId="0" borderId="24" xfId="0" applyFont="1" applyFill="1" applyBorder="1" applyAlignment="1" applyProtection="1">
      <alignment/>
      <protection/>
    </xf>
    <xf numFmtId="37" fontId="8" fillId="0" borderId="0" xfId="0" applyNumberFormat="1" applyFont="1" applyFill="1" applyBorder="1" applyAlignment="1" applyProtection="1">
      <alignment horizontal="right"/>
      <protection/>
    </xf>
    <xf numFmtId="37" fontId="6" fillId="0" borderId="0" xfId="0" applyNumberFormat="1" applyFont="1" applyAlignment="1">
      <alignment/>
    </xf>
    <xf numFmtId="37" fontId="8" fillId="33" borderId="0" xfId="63" applyNumberFormat="1" applyFont="1" applyProtection="1">
      <alignment/>
      <protection locked="0"/>
    </xf>
    <xf numFmtId="37" fontId="8" fillId="0" borderId="65" xfId="0" applyNumberFormat="1" applyFont="1" applyFill="1" applyBorder="1" applyAlignment="1" applyProtection="1">
      <alignment/>
      <protection locked="0"/>
    </xf>
    <xf numFmtId="0" fontId="8" fillId="0" borderId="0" xfId="0" applyFont="1" applyFill="1" applyAlignment="1" applyProtection="1" quotePrefix="1">
      <alignment horizontal="right"/>
      <protection/>
    </xf>
    <xf numFmtId="3" fontId="8" fillId="0" borderId="13" xfId="0" applyNumberFormat="1" applyFont="1" applyBorder="1" applyAlignment="1" applyProtection="1">
      <alignment/>
      <protection/>
    </xf>
    <xf numFmtId="4" fontId="8" fillId="0" borderId="13" xfId="0" applyNumberFormat="1" applyFont="1" applyBorder="1" applyAlignment="1" applyProtection="1">
      <alignment/>
      <protection/>
    </xf>
    <xf numFmtId="37" fontId="8" fillId="0" borderId="10" xfId="0" applyNumberFormat="1" applyFont="1" applyBorder="1" applyAlignment="1" applyProtection="1">
      <alignment/>
      <protection locked="0"/>
    </xf>
    <xf numFmtId="37" fontId="6" fillId="0" borderId="66" xfId="0" applyNumberFormat="1" applyFont="1" applyFill="1" applyBorder="1" applyAlignment="1" applyProtection="1">
      <alignment/>
      <protection/>
    </xf>
    <xf numFmtId="37" fontId="6" fillId="0" borderId="13" xfId="0" applyNumberFormat="1" applyFont="1" applyFill="1" applyBorder="1" applyAlignment="1" applyProtection="1">
      <alignment/>
      <protection/>
    </xf>
    <xf numFmtId="37" fontId="6" fillId="0" borderId="67" xfId="0" applyNumberFormat="1" applyFont="1" applyFill="1" applyBorder="1" applyAlignment="1" applyProtection="1">
      <alignment/>
      <protection/>
    </xf>
    <xf numFmtId="37" fontId="6" fillId="0" borderId="18" xfId="0" applyNumberFormat="1" applyFont="1" applyFill="1" applyBorder="1" applyAlignment="1" applyProtection="1">
      <alignment/>
      <protection/>
    </xf>
    <xf numFmtId="37" fontId="6" fillId="0" borderId="68" xfId="0" applyNumberFormat="1" applyFont="1" applyBorder="1" applyAlignment="1" applyProtection="1">
      <alignment/>
      <protection/>
    </xf>
    <xf numFmtId="37" fontId="6" fillId="0" borderId="49" xfId="0" applyNumberFormat="1" applyFont="1" applyBorder="1" applyAlignment="1" applyProtection="1">
      <alignment/>
      <protection/>
    </xf>
    <xf numFmtId="37" fontId="6" fillId="0" borderId="68" xfId="0" applyNumberFormat="1" applyFont="1" applyFill="1" applyBorder="1" applyAlignment="1" applyProtection="1">
      <alignment/>
      <protection/>
    </xf>
    <xf numFmtId="37" fontId="6" fillId="0" borderId="49" xfId="0" applyNumberFormat="1" applyFont="1" applyFill="1" applyBorder="1" applyAlignment="1" applyProtection="1">
      <alignment/>
      <protection/>
    </xf>
    <xf numFmtId="3" fontId="8" fillId="0" borderId="20" xfId="0" applyNumberFormat="1" applyFont="1" applyBorder="1" applyAlignment="1" applyProtection="1">
      <alignment/>
      <protection locked="0"/>
    </xf>
    <xf numFmtId="4" fontId="8" fillId="0" borderId="20" xfId="0" applyNumberFormat="1" applyFont="1" applyBorder="1" applyAlignment="1" applyProtection="1">
      <alignment/>
      <protection locked="0"/>
    </xf>
    <xf numFmtId="37" fontId="6" fillId="0" borderId="46" xfId="0" applyNumberFormat="1" applyFont="1" applyBorder="1" applyAlignment="1" applyProtection="1">
      <alignment/>
      <protection/>
    </xf>
    <xf numFmtId="37" fontId="6" fillId="0" borderId="45" xfId="0" applyNumberFormat="1" applyFont="1" applyBorder="1" applyAlignment="1" applyProtection="1">
      <alignment/>
      <protection/>
    </xf>
    <xf numFmtId="37" fontId="6" fillId="0" borderId="69" xfId="0" applyNumberFormat="1" applyFont="1" applyBorder="1" applyAlignment="1" applyProtection="1">
      <alignment/>
      <protection/>
    </xf>
    <xf numFmtId="37" fontId="6" fillId="0" borderId="42" xfId="0" applyNumberFormat="1" applyFont="1" applyBorder="1" applyAlignment="1" applyProtection="1">
      <alignment/>
      <protection/>
    </xf>
    <xf numFmtId="37" fontId="8" fillId="0" borderId="13" xfId="0" applyNumberFormat="1" applyFont="1" applyFill="1" applyBorder="1" applyAlignment="1" applyProtection="1">
      <alignment/>
      <protection/>
    </xf>
    <xf numFmtId="37" fontId="8" fillId="33" borderId="37" xfId="0" applyNumberFormat="1" applyFont="1" applyFill="1" applyBorder="1" applyAlignment="1" applyProtection="1">
      <alignment/>
      <protection/>
    </xf>
    <xf numFmtId="37" fontId="8" fillId="0" borderId="37" xfId="0" applyNumberFormat="1" applyFont="1" applyFill="1" applyBorder="1" applyAlignment="1" applyProtection="1">
      <alignment/>
      <protection/>
    </xf>
    <xf numFmtId="3" fontId="8" fillId="0" borderId="20" xfId="0" applyNumberFormat="1" applyFont="1" applyFill="1" applyBorder="1" applyAlignment="1" applyProtection="1">
      <alignment/>
      <protection locked="0"/>
    </xf>
    <xf numFmtId="37" fontId="8" fillId="0" borderId="20" xfId="0" applyNumberFormat="1" applyFont="1" applyFill="1" applyBorder="1" applyAlignment="1" applyProtection="1">
      <alignment horizontal="right"/>
      <protection locked="0"/>
    </xf>
    <xf numFmtId="37" fontId="8" fillId="0" borderId="20" xfId="0" applyNumberFormat="1" applyFont="1" applyBorder="1" applyAlignment="1" applyProtection="1">
      <alignment/>
      <protection locked="0"/>
    </xf>
    <xf numFmtId="37" fontId="8" fillId="0" borderId="70" xfId="0" applyNumberFormat="1" applyFont="1" applyBorder="1" applyAlignment="1" applyProtection="1">
      <alignment/>
      <protection locked="0"/>
    </xf>
    <xf numFmtId="4" fontId="12" fillId="0" borderId="71" xfId="0" applyNumberFormat="1" applyFont="1" applyBorder="1" applyAlignment="1" applyProtection="1">
      <alignment/>
      <protection/>
    </xf>
    <xf numFmtId="4" fontId="12" fillId="0" borderId="72" xfId="0" applyNumberFormat="1" applyFont="1" applyBorder="1" applyAlignment="1" applyProtection="1">
      <alignment/>
      <protection/>
    </xf>
    <xf numFmtId="37" fontId="8" fillId="33" borderId="0" xfId="63" applyNumberFormat="1" applyFont="1" applyAlignment="1" applyProtection="1">
      <alignment/>
      <protection/>
    </xf>
    <xf numFmtId="37" fontId="8" fillId="33" borderId="24" xfId="63" applyNumberFormat="1" applyFont="1" applyBorder="1" applyAlignment="1" applyProtection="1">
      <alignment/>
      <protection/>
    </xf>
    <xf numFmtId="37" fontId="12" fillId="33" borderId="10" xfId="63" applyNumberFormat="1" applyFont="1" applyFill="1" applyBorder="1" applyAlignment="1" applyProtection="1">
      <alignment/>
      <protection locked="0"/>
    </xf>
    <xf numFmtId="37" fontId="8" fillId="33" borderId="10" xfId="63" applyNumberFormat="1" applyFont="1" applyBorder="1" applyAlignment="1" applyProtection="1">
      <alignment/>
      <protection locked="0"/>
    </xf>
    <xf numFmtId="37" fontId="8" fillId="33" borderId="29" xfId="63" applyNumberFormat="1" applyFont="1" applyBorder="1" applyAlignment="1" applyProtection="1">
      <alignment/>
      <protection/>
    </xf>
    <xf numFmtId="37" fontId="4" fillId="0" borderId="29" xfId="0" applyNumberFormat="1" applyFont="1" applyBorder="1" applyAlignment="1" applyProtection="1">
      <alignment/>
      <protection/>
    </xf>
    <xf numFmtId="3" fontId="8" fillId="0" borderId="13" xfId="0" applyNumberFormat="1" applyFont="1" applyFill="1" applyBorder="1" applyAlignment="1" applyProtection="1">
      <alignment/>
      <protection/>
    </xf>
    <xf numFmtId="49" fontId="4" fillId="0" borderId="0" xfId="0" applyNumberFormat="1" applyFont="1" applyAlignment="1" quotePrefix="1">
      <alignment horizontal="right"/>
    </xf>
    <xf numFmtId="49" fontId="4" fillId="0" borderId="0" xfId="0" applyNumberFormat="1" applyFont="1" applyAlignment="1" quotePrefix="1">
      <alignment/>
    </xf>
    <xf numFmtId="49" fontId="4" fillId="0" borderId="0" xfId="0" applyNumberFormat="1" applyFont="1" applyBorder="1" applyAlignment="1" applyProtection="1" quotePrefix="1">
      <alignment horizontal="left"/>
      <protection/>
    </xf>
    <xf numFmtId="0" fontId="8" fillId="0" borderId="0" xfId="0" applyFont="1" applyAlignment="1" applyProtection="1" quotePrefix="1">
      <alignment horizontal="left"/>
      <protection/>
    </xf>
    <xf numFmtId="0" fontId="12" fillId="0" borderId="0" xfId="0" applyFont="1" applyAlignment="1" applyProtection="1" quotePrefix="1">
      <alignment horizontal="right"/>
      <protection/>
    </xf>
    <xf numFmtId="0" fontId="12" fillId="0" borderId="0" xfId="0" applyFont="1" applyAlignment="1" applyProtection="1" quotePrefix="1">
      <alignment horizontal="left"/>
      <protection/>
    </xf>
    <xf numFmtId="0" fontId="12" fillId="0" borderId="14" xfId="0" applyFont="1" applyBorder="1" applyAlignment="1" applyProtection="1">
      <alignment/>
      <protection/>
    </xf>
    <xf numFmtId="0" fontId="12" fillId="0" borderId="0"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14" xfId="0" applyFont="1" applyBorder="1" applyAlignment="1" applyProtection="1">
      <alignment horizontal="centerContinuous"/>
      <protection/>
    </xf>
    <xf numFmtId="0" fontId="12" fillId="0" borderId="15" xfId="0" applyFont="1" applyBorder="1" applyAlignment="1" applyProtection="1">
      <alignment horizontal="centerContinuous"/>
      <protection/>
    </xf>
    <xf numFmtId="37" fontId="12" fillId="0" borderId="0" xfId="63" applyNumberFormat="1" applyFont="1" applyFill="1" applyBorder="1" applyAlignment="1" applyProtection="1" quotePrefix="1">
      <alignment horizontal="left" vertical="top"/>
      <protection/>
    </xf>
    <xf numFmtId="49" fontId="4" fillId="0" borderId="0" xfId="63" applyNumberFormat="1" applyFont="1" applyFill="1" applyAlignment="1" applyProtection="1" quotePrefix="1">
      <alignment horizontal="right"/>
      <protection/>
    </xf>
    <xf numFmtId="49" fontId="8" fillId="0" borderId="0" xfId="0" applyNumberFormat="1" applyFont="1" applyAlignment="1" quotePrefix="1">
      <alignment horizontal="right" vertical="top"/>
    </xf>
    <xf numFmtId="49" fontId="8" fillId="0" borderId="0" xfId="0" applyNumberFormat="1" applyFont="1" applyAlignment="1" quotePrefix="1">
      <alignment horizontal="right"/>
    </xf>
    <xf numFmtId="49" fontId="8" fillId="37" borderId="0" xfId="63" applyNumberFormat="1" applyFont="1" applyFill="1" applyAlignment="1" applyProtection="1">
      <alignment horizontal="left" vertical="top"/>
      <protection/>
    </xf>
    <xf numFmtId="0" fontId="8" fillId="0" borderId="11" xfId="0" applyFont="1" applyFill="1" applyBorder="1" applyAlignment="1" applyProtection="1">
      <alignment/>
      <protection/>
    </xf>
    <xf numFmtId="0" fontId="0" fillId="0" borderId="0" xfId="0" applyFont="1" applyAlignment="1">
      <alignment/>
    </xf>
    <xf numFmtId="42" fontId="8" fillId="0" borderId="0" xfId="0" applyNumberFormat="1" applyFont="1" applyFill="1" applyBorder="1" applyAlignment="1" applyProtection="1">
      <alignment horizontal="right"/>
      <protection/>
    </xf>
    <xf numFmtId="3" fontId="8" fillId="0" borderId="20" xfId="0" applyNumberFormat="1" applyFont="1" applyFill="1" applyBorder="1" applyAlignment="1" applyProtection="1">
      <alignment/>
      <protection/>
    </xf>
    <xf numFmtId="4" fontId="8" fillId="0" borderId="28" xfId="0" applyNumberFormat="1" applyFont="1" applyFill="1" applyBorder="1" applyAlignment="1" applyProtection="1">
      <alignment horizontal="right"/>
      <protection locked="0"/>
    </xf>
    <xf numFmtId="0" fontId="10" fillId="0" borderId="0" xfId="63" applyNumberFormat="1" applyFont="1" applyFill="1">
      <alignment/>
      <protection/>
    </xf>
    <xf numFmtId="0" fontId="18" fillId="0" borderId="0" xfId="63" applyNumberFormat="1" applyFill="1">
      <alignment/>
      <protection/>
    </xf>
    <xf numFmtId="0" fontId="8" fillId="0" borderId="0" xfId="63" applyNumberFormat="1" applyFont="1" applyFill="1" applyBorder="1" applyAlignment="1">
      <alignment wrapText="1"/>
      <protection/>
    </xf>
    <xf numFmtId="0" fontId="8" fillId="0" borderId="0" xfId="63" applyNumberFormat="1" applyFont="1" applyFill="1" applyBorder="1" applyAlignment="1" quotePrefix="1">
      <alignment horizontal="right"/>
      <protection/>
    </xf>
    <xf numFmtId="0" fontId="8" fillId="33" borderId="0" xfId="63" applyNumberFormat="1" applyFont="1" applyBorder="1" applyAlignment="1">
      <alignment horizontal="right"/>
      <protection/>
    </xf>
    <xf numFmtId="1" fontId="12" fillId="0" borderId="0" xfId="63" applyNumberFormat="1" applyFont="1" applyFill="1" applyAlignment="1" applyProtection="1" quotePrefix="1">
      <alignment horizontal="right"/>
      <protection/>
    </xf>
    <xf numFmtId="49" fontId="12" fillId="0" borderId="0" xfId="63" applyNumberFormat="1" applyFont="1" applyFill="1" applyAlignment="1" applyProtection="1" quotePrefix="1">
      <alignment horizontal="right"/>
      <protection/>
    </xf>
    <xf numFmtId="38" fontId="24" fillId="0" borderId="28" xfId="0" applyNumberFormat="1" applyFont="1" applyFill="1" applyBorder="1" applyAlignment="1" applyProtection="1">
      <alignment vertical="top"/>
      <protection/>
    </xf>
    <xf numFmtId="0" fontId="8" fillId="0" borderId="0" xfId="0" applyFont="1" applyFill="1" applyAlignment="1" applyProtection="1">
      <alignment/>
      <protection locked="0"/>
    </xf>
    <xf numFmtId="0" fontId="27" fillId="0" borderId="0" xfId="55" applyAlignment="1" applyProtection="1">
      <alignment/>
      <protection/>
    </xf>
    <xf numFmtId="167" fontId="4" fillId="0" borderId="0" xfId="0" applyNumberFormat="1" applyFont="1" applyFill="1" applyBorder="1" applyAlignment="1" applyProtection="1">
      <alignment horizontal="left"/>
      <protection/>
    </xf>
    <xf numFmtId="4" fontId="8" fillId="0" borderId="13" xfId="0" applyNumberFormat="1" applyFont="1" applyBorder="1" applyAlignment="1" applyProtection="1">
      <alignment/>
      <protection locked="0"/>
    </xf>
    <xf numFmtId="37" fontId="8" fillId="0" borderId="13" xfId="0" applyNumberFormat="1" applyFont="1" applyFill="1" applyBorder="1" applyAlignment="1" applyProtection="1">
      <alignment horizontal="right"/>
      <protection/>
    </xf>
    <xf numFmtId="49" fontId="8" fillId="0" borderId="12" xfId="0" applyNumberFormat="1" applyFont="1" applyFill="1" applyBorder="1" applyAlignment="1" applyProtection="1">
      <alignment horizontal="right"/>
      <protection/>
    </xf>
    <xf numFmtId="37" fontId="8" fillId="38" borderId="28" xfId="0" applyNumberFormat="1" applyFont="1" applyFill="1" applyBorder="1" applyAlignment="1" applyProtection="1">
      <alignment horizontal="right"/>
      <protection/>
    </xf>
    <xf numFmtId="37" fontId="8" fillId="0" borderId="21" xfId="0" applyNumberFormat="1" applyFont="1" applyBorder="1" applyAlignment="1" applyProtection="1">
      <alignment horizontal="right"/>
      <protection/>
    </xf>
    <xf numFmtId="0" fontId="10" fillId="0" borderId="0" xfId="0" applyFont="1" applyFill="1" applyAlignment="1" applyProtection="1">
      <alignment/>
      <protection/>
    </xf>
    <xf numFmtId="0" fontId="36" fillId="0" borderId="0" xfId="55" applyFont="1" applyFill="1" applyAlignment="1" applyProtection="1">
      <alignment horizontal="right"/>
      <protection/>
    </xf>
    <xf numFmtId="0" fontId="8" fillId="0" borderId="0" xfId="0" applyFont="1" applyFill="1" applyBorder="1" applyAlignment="1" applyProtection="1">
      <alignment/>
      <protection/>
    </xf>
    <xf numFmtId="37" fontId="8" fillId="0" borderId="0" xfId="0" applyNumberFormat="1" applyFont="1" applyBorder="1" applyAlignment="1" applyProtection="1">
      <alignment/>
      <protection/>
    </xf>
    <xf numFmtId="37" fontId="12" fillId="33" borderId="38" xfId="63" applyNumberFormat="1" applyFont="1" applyFill="1" applyBorder="1" applyAlignment="1" applyProtection="1">
      <alignment/>
      <protection/>
    </xf>
    <xf numFmtId="37" fontId="12" fillId="0" borderId="0" xfId="63" applyNumberFormat="1" applyFont="1" applyFill="1" applyAlignment="1" applyProtection="1">
      <alignment/>
      <protection/>
    </xf>
    <xf numFmtId="3" fontId="8" fillId="0" borderId="13" xfId="0" applyNumberFormat="1" applyFont="1" applyFill="1" applyBorder="1" applyAlignment="1">
      <alignment horizontal="right"/>
    </xf>
    <xf numFmtId="0" fontId="6" fillId="0" borderId="20" xfId="65" applyNumberFormat="1" applyFont="1" applyFill="1" applyBorder="1" applyProtection="1">
      <alignment/>
      <protection/>
    </xf>
    <xf numFmtId="37" fontId="14" fillId="0" borderId="20" xfId="65" applyNumberFormat="1" applyFont="1" applyFill="1" applyBorder="1" applyProtection="1">
      <alignment/>
      <protection/>
    </xf>
    <xf numFmtId="0" fontId="8" fillId="0" borderId="0" xfId="0" applyFont="1" applyFill="1" applyAlignment="1">
      <alignment vertical="top" wrapText="1"/>
    </xf>
    <xf numFmtId="4" fontId="8" fillId="0" borderId="13" xfId="0" applyNumberFormat="1" applyFont="1" applyFill="1" applyBorder="1" applyAlignment="1">
      <alignment horizontal="right"/>
    </xf>
    <xf numFmtId="0" fontId="0" fillId="0" borderId="0" xfId="0" applyFill="1" applyBorder="1" applyAlignment="1">
      <alignment wrapText="1"/>
    </xf>
    <xf numFmtId="0" fontId="8" fillId="0" borderId="0" xfId="0" applyFont="1" applyFill="1" applyBorder="1" applyAlignment="1" quotePrefix="1">
      <alignment wrapText="1"/>
    </xf>
    <xf numFmtId="0" fontId="8" fillId="0" borderId="0" xfId="63" applyNumberFormat="1" applyFont="1" applyFill="1" applyBorder="1" applyAlignment="1" quotePrefix="1">
      <alignment/>
      <protection/>
    </xf>
    <xf numFmtId="0" fontId="18" fillId="0" borderId="0" xfId="63" applyNumberFormat="1" applyFont="1" applyFill="1" applyBorder="1">
      <alignment/>
      <protection/>
    </xf>
    <xf numFmtId="0" fontId="8" fillId="33" borderId="0" xfId="63" applyNumberFormat="1" applyFont="1" applyBorder="1" applyAlignment="1">
      <alignment/>
      <protection/>
    </xf>
    <xf numFmtId="0" fontId="25" fillId="0" borderId="0" xfId="0" applyFont="1" applyFill="1" applyBorder="1" applyAlignment="1">
      <alignment wrapText="1"/>
    </xf>
    <xf numFmtId="0" fontId="10" fillId="0" borderId="0" xfId="63" applyNumberFormat="1" applyFont="1" applyFill="1" applyBorder="1" applyAlignment="1">
      <alignment horizontal="right"/>
      <protection/>
    </xf>
    <xf numFmtId="0" fontId="8" fillId="0" borderId="0" xfId="63" applyNumberFormat="1" applyFont="1" applyFill="1" applyBorder="1" applyAlignment="1" applyProtection="1">
      <alignment/>
      <protection/>
    </xf>
    <xf numFmtId="0" fontId="0" fillId="0" borderId="0" xfId="0" applyFont="1" applyBorder="1" applyAlignment="1">
      <alignment/>
    </xf>
    <xf numFmtId="49" fontId="8" fillId="0" borderId="0" xfId="0" applyNumberFormat="1" applyFont="1" applyFill="1" applyBorder="1" applyAlignment="1" applyProtection="1">
      <alignment horizontal="left"/>
      <protection/>
    </xf>
    <xf numFmtId="0" fontId="3" fillId="0" borderId="0" xfId="0" applyFont="1" applyAlignment="1">
      <alignment vertical="top" wrapText="1"/>
    </xf>
    <xf numFmtId="0" fontId="8" fillId="0" borderId="0" xfId="0" applyFont="1" applyFill="1" applyBorder="1" applyAlignment="1" applyProtection="1">
      <alignment horizontal="left"/>
      <protection/>
    </xf>
    <xf numFmtId="49" fontId="6" fillId="0" borderId="0" xfId="0" applyNumberFormat="1" applyFont="1" applyBorder="1" applyAlignment="1" applyProtection="1">
      <alignment/>
      <protection/>
    </xf>
    <xf numFmtId="0" fontId="18" fillId="33" borderId="0" xfId="63" applyNumberFormat="1" applyBorder="1" applyProtection="1">
      <alignment/>
      <protection/>
    </xf>
    <xf numFmtId="1" fontId="12" fillId="0" borderId="0" xfId="63" applyNumberFormat="1" applyFont="1" applyFill="1" applyAlignment="1" applyProtection="1" quotePrefix="1">
      <alignment horizontal="left"/>
      <protection/>
    </xf>
    <xf numFmtId="1" fontId="12" fillId="0" borderId="0" xfId="63" applyNumberFormat="1" applyFont="1" applyFill="1" applyAlignment="1" applyProtection="1">
      <alignment horizontal="left"/>
      <protection/>
    </xf>
    <xf numFmtId="49" fontId="12" fillId="0" borderId="0" xfId="63" applyNumberFormat="1" applyFont="1" applyFill="1" applyAlignment="1" applyProtection="1" quotePrefix="1">
      <alignment horizontal="left" vertical="top"/>
      <protection/>
    </xf>
    <xf numFmtId="1" fontId="12" fillId="0" borderId="0" xfId="63" applyNumberFormat="1" applyFont="1" applyFill="1" applyAlignment="1" applyProtection="1" quotePrefix="1">
      <alignment horizontal="left" vertical="top"/>
      <protection/>
    </xf>
    <xf numFmtId="1" fontId="12" fillId="0" borderId="0" xfId="63" applyNumberFormat="1" applyFont="1" applyFill="1" applyAlignment="1" applyProtection="1">
      <alignment horizontal="right" vertical="top"/>
      <protection/>
    </xf>
    <xf numFmtId="0" fontId="8" fillId="0" borderId="0" xfId="0" applyFont="1" applyAlignment="1" quotePrefix="1">
      <alignment horizontal="right"/>
    </xf>
    <xf numFmtId="0" fontId="39" fillId="0" borderId="0" xfId="0" applyFont="1" applyAlignment="1">
      <alignment vertical="top" wrapText="1"/>
    </xf>
    <xf numFmtId="0" fontId="39" fillId="0" borderId="0" xfId="0" applyFont="1" applyFill="1" applyAlignment="1">
      <alignment horizontal="center" vertical="top" wrapText="1"/>
    </xf>
    <xf numFmtId="49" fontId="11" fillId="39" borderId="0" xfId="55" applyNumberFormat="1" applyFont="1" applyFill="1" applyAlignment="1" applyProtection="1">
      <alignment horizontal="right"/>
      <protection/>
    </xf>
    <xf numFmtId="49" fontId="11" fillId="39" borderId="0" xfId="55" applyNumberFormat="1" applyFont="1" applyFill="1" applyAlignment="1" applyProtection="1" quotePrefix="1">
      <alignment horizontal="right"/>
      <protection/>
    </xf>
    <xf numFmtId="49" fontId="36" fillId="39" borderId="0" xfId="55" applyNumberFormat="1" applyFont="1" applyFill="1" applyAlignment="1" applyProtection="1">
      <alignment horizontal="right"/>
      <protection/>
    </xf>
    <xf numFmtId="37" fontId="36" fillId="39" borderId="0" xfId="55" applyNumberFormat="1" applyFont="1" applyFill="1" applyAlignment="1" applyProtection="1">
      <alignment horizontal="left" vertical="top"/>
      <protection/>
    </xf>
    <xf numFmtId="1" fontId="36" fillId="39" borderId="0" xfId="55" applyNumberFormat="1" applyFont="1" applyFill="1" applyAlignment="1" applyProtection="1">
      <alignment horizontal="right"/>
      <protection/>
    </xf>
    <xf numFmtId="37" fontId="36" fillId="39" borderId="0" xfId="55" applyNumberFormat="1" applyFont="1" applyFill="1" applyAlignment="1" applyProtection="1">
      <alignment/>
      <protection/>
    </xf>
    <xf numFmtId="0" fontId="36" fillId="39" borderId="0" xfId="55" applyNumberFormat="1" applyFont="1" applyFill="1" applyAlignment="1" applyProtection="1">
      <alignment/>
      <protection/>
    </xf>
    <xf numFmtId="37" fontId="36" fillId="39" borderId="0" xfId="55" applyNumberFormat="1" applyFont="1" applyFill="1" applyAlignment="1" applyProtection="1">
      <alignment vertical="top"/>
      <protection/>
    </xf>
    <xf numFmtId="49" fontId="36" fillId="39" borderId="0" xfId="55" applyNumberFormat="1" applyFont="1" applyFill="1" applyAlignment="1" applyProtection="1" quotePrefix="1">
      <alignment horizontal="right" vertical="top"/>
      <protection/>
    </xf>
    <xf numFmtId="37" fontId="12" fillId="0" borderId="0" xfId="63" applyNumberFormat="1" applyFont="1" applyFill="1" applyAlignment="1" applyProtection="1">
      <alignment vertical="top"/>
      <protection/>
    </xf>
    <xf numFmtId="164" fontId="11" fillId="39" borderId="0" xfId="55" applyNumberFormat="1" applyFont="1" applyFill="1" applyAlignment="1" applyProtection="1" quotePrefix="1">
      <alignment horizontal="right"/>
      <protection/>
    </xf>
    <xf numFmtId="0" fontId="11" fillId="39" borderId="0" xfId="55" applyFont="1" applyFill="1" applyAlignment="1" applyProtection="1" quotePrefix="1">
      <alignment horizontal="right"/>
      <protection/>
    </xf>
    <xf numFmtId="49" fontId="38" fillId="39" borderId="0" xfId="55" applyNumberFormat="1" applyFont="1" applyFill="1" applyBorder="1" applyAlignment="1" applyProtection="1">
      <alignment horizontal="right"/>
      <protection/>
    </xf>
    <xf numFmtId="49" fontId="38" fillId="39" borderId="73" xfId="55" applyNumberFormat="1" applyFont="1" applyFill="1" applyBorder="1" applyAlignment="1" applyProtection="1">
      <alignment horizontal="right"/>
      <protection/>
    </xf>
    <xf numFmtId="49" fontId="38" fillId="39" borderId="27" xfId="55" applyNumberFormat="1" applyFont="1" applyFill="1" applyBorder="1" applyAlignment="1" applyProtection="1">
      <alignment horizontal="right"/>
      <protection/>
    </xf>
    <xf numFmtId="49" fontId="36" fillId="39" borderId="27" xfId="55" applyNumberFormat="1" applyFont="1" applyFill="1" applyBorder="1" applyAlignment="1" applyProtection="1" quotePrefix="1">
      <alignment horizontal="right"/>
      <protection/>
    </xf>
    <xf numFmtId="49" fontId="36" fillId="39" borderId="0" xfId="55" applyNumberFormat="1" applyFont="1" applyFill="1" applyBorder="1" applyAlignment="1" applyProtection="1">
      <alignment horizontal="right"/>
      <protection/>
    </xf>
    <xf numFmtId="0" fontId="36" fillId="39" borderId="0" xfId="55" applyFont="1" applyFill="1" applyAlignment="1" applyProtection="1" quotePrefix="1">
      <alignment horizontal="right"/>
      <protection/>
    </xf>
    <xf numFmtId="0" fontId="36" fillId="39" borderId="0" xfId="55" applyFont="1" applyFill="1" applyAlignment="1" applyProtection="1">
      <alignment horizontal="right"/>
      <protection/>
    </xf>
    <xf numFmtId="0" fontId="6" fillId="0" borderId="38" xfId="65" applyNumberFormat="1" applyFont="1" applyFill="1" applyBorder="1" applyAlignment="1" applyProtection="1">
      <alignment horizontal="centerContinuous"/>
      <protection/>
    </xf>
    <xf numFmtId="0" fontId="39" fillId="0" borderId="0" xfId="0" applyFont="1" applyFill="1" applyAlignment="1">
      <alignment vertical="top" wrapText="1"/>
    </xf>
    <xf numFmtId="49" fontId="36" fillId="39" borderId="0" xfId="55" applyNumberFormat="1" applyFont="1" applyFill="1" applyAlignment="1" applyProtection="1">
      <alignment horizontal="right" vertical="top"/>
      <protection/>
    </xf>
    <xf numFmtId="0" fontId="36" fillId="0" borderId="0" xfId="0" applyFont="1" applyAlignment="1">
      <alignment/>
    </xf>
    <xf numFmtId="1" fontId="12" fillId="0" borderId="0" xfId="63" applyNumberFormat="1" applyFont="1" applyFill="1" applyAlignment="1" applyProtection="1">
      <alignment horizontal="right"/>
      <protection/>
    </xf>
    <xf numFmtId="37" fontId="8" fillId="0" borderId="0" xfId="0" applyNumberFormat="1" applyFont="1" applyBorder="1" applyAlignment="1" applyProtection="1">
      <alignment horizontal="right"/>
      <protection/>
    </xf>
    <xf numFmtId="37" fontId="10" fillId="0" borderId="0" xfId="0" applyNumberFormat="1" applyFont="1" applyBorder="1" applyAlignment="1">
      <alignment horizontal="right"/>
    </xf>
    <xf numFmtId="0" fontId="18" fillId="33" borderId="0" xfId="63" applyNumberFormat="1" applyFont="1" applyBorder="1">
      <alignment/>
      <protection/>
    </xf>
    <xf numFmtId="0" fontId="39" fillId="0" borderId="0" xfId="0" applyFont="1" applyAlignment="1">
      <alignment horizontal="center" vertical="center" wrapText="1"/>
    </xf>
    <xf numFmtId="37" fontId="12" fillId="0" borderId="24" xfId="63" applyNumberFormat="1" applyFont="1" applyFill="1" applyBorder="1" applyAlignment="1" applyProtection="1">
      <alignment/>
      <protection/>
    </xf>
    <xf numFmtId="0" fontId="2"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12" fillId="0" borderId="0" xfId="0" applyFont="1" applyFill="1" applyAlignment="1" applyProtection="1">
      <alignment/>
      <protection/>
    </xf>
    <xf numFmtId="37" fontId="8" fillId="0" borderId="0" xfId="63" applyNumberFormat="1" applyFont="1" applyFill="1" applyBorder="1" applyAlignment="1" applyProtection="1">
      <alignment horizontal="right"/>
      <protection/>
    </xf>
    <xf numFmtId="0" fontId="8" fillId="0" borderId="74" xfId="0" applyFont="1" applyFill="1" applyBorder="1" applyAlignment="1" applyProtection="1">
      <alignment horizontal="center"/>
      <protection/>
    </xf>
    <xf numFmtId="0" fontId="0" fillId="0" borderId="15" xfId="0" applyFill="1" applyBorder="1" applyAlignment="1">
      <alignment/>
    </xf>
    <xf numFmtId="37" fontId="14" fillId="0" borderId="20" xfId="64" applyNumberFormat="1" applyFont="1" applyFill="1" applyBorder="1" applyAlignment="1" applyProtection="1">
      <alignment/>
      <protection/>
    </xf>
    <xf numFmtId="37" fontId="6" fillId="0" borderId="20" xfId="64" applyNumberFormat="1" applyFont="1" applyFill="1" applyBorder="1" applyAlignment="1" applyProtection="1">
      <alignment/>
      <protection/>
    </xf>
    <xf numFmtId="4" fontId="8" fillId="0" borderId="18" xfId="0" applyNumberFormat="1" applyFont="1" applyFill="1" applyBorder="1" applyAlignment="1" applyProtection="1">
      <alignment/>
      <protection locked="0"/>
    </xf>
    <xf numFmtId="3" fontId="8" fillId="0" borderId="18" xfId="0" applyNumberFormat="1" applyFont="1" applyFill="1" applyBorder="1" applyAlignment="1" applyProtection="1">
      <alignment horizontal="right"/>
      <protection/>
    </xf>
    <xf numFmtId="38" fontId="24" fillId="0" borderId="15" xfId="0" applyNumberFormat="1" applyFont="1" applyBorder="1" applyAlignment="1" applyProtection="1">
      <alignment vertical="top"/>
      <protection/>
    </xf>
    <xf numFmtId="38" fontId="4" fillId="0" borderId="15" xfId="0" applyNumberFormat="1" applyFont="1" applyBorder="1" applyAlignment="1" applyProtection="1">
      <alignment vertical="top"/>
      <protection/>
    </xf>
    <xf numFmtId="38" fontId="24" fillId="0" borderId="15" xfId="0" applyNumberFormat="1" applyFont="1" applyFill="1" applyBorder="1" applyAlignment="1" applyProtection="1">
      <alignment vertical="top"/>
      <protection/>
    </xf>
    <xf numFmtId="38" fontId="4" fillId="0" borderId="0" xfId="0" applyNumberFormat="1" applyFont="1" applyBorder="1" applyAlignment="1" applyProtection="1">
      <alignment/>
      <protection/>
    </xf>
    <xf numFmtId="0" fontId="4" fillId="0" borderId="0" xfId="0" applyFont="1" applyFill="1" applyBorder="1" applyAlignment="1" applyProtection="1">
      <alignment horizontal="center"/>
      <protection/>
    </xf>
    <xf numFmtId="38" fontId="4" fillId="0" borderId="0" xfId="0" applyNumberFormat="1" applyFont="1" applyFill="1" applyBorder="1" applyAlignment="1" applyProtection="1">
      <alignment/>
      <protection/>
    </xf>
    <xf numFmtId="0" fontId="24" fillId="0" borderId="0" xfId="0" applyFont="1" applyFill="1" applyBorder="1" applyAlignment="1" applyProtection="1">
      <alignment/>
      <protection/>
    </xf>
    <xf numFmtId="0" fontId="9" fillId="0" borderId="14" xfId="0" applyFont="1" applyBorder="1" applyAlignment="1" applyProtection="1">
      <alignment/>
      <protection/>
    </xf>
    <xf numFmtId="4" fontId="12" fillId="0" borderId="21" xfId="0" applyNumberFormat="1" applyFont="1" applyBorder="1" applyAlignment="1" applyProtection="1">
      <alignment horizontal="center"/>
      <protection/>
    </xf>
    <xf numFmtId="0" fontId="3" fillId="0" borderId="11" xfId="0" applyFont="1" applyBorder="1" applyAlignment="1" applyProtection="1">
      <alignment/>
      <protection/>
    </xf>
    <xf numFmtId="0" fontId="3" fillId="0" borderId="14" xfId="0" applyFont="1" applyBorder="1" applyAlignment="1" applyProtection="1">
      <alignment/>
      <protection/>
    </xf>
    <xf numFmtId="0" fontId="10" fillId="0" borderId="14" xfId="0" applyFont="1" applyBorder="1" applyAlignment="1">
      <alignment/>
    </xf>
    <xf numFmtId="0" fontId="10" fillId="0" borderId="21" xfId="0" applyFont="1" applyFill="1" applyBorder="1" applyAlignment="1" applyProtection="1">
      <alignment/>
      <protection/>
    </xf>
    <xf numFmtId="0" fontId="27" fillId="39" borderId="0" xfId="55" applyFill="1" applyAlignment="1" applyProtection="1">
      <alignment/>
      <protection/>
    </xf>
    <xf numFmtId="0" fontId="36" fillId="39" borderId="0" xfId="55" applyFont="1" applyFill="1" applyAlignment="1" applyProtection="1">
      <alignment/>
      <protection/>
    </xf>
    <xf numFmtId="37" fontId="6" fillId="38" borderId="49" xfId="0" applyNumberFormat="1" applyFont="1" applyFill="1" applyBorder="1" applyAlignment="1" applyProtection="1">
      <alignment horizontal="right"/>
      <protection/>
    </xf>
    <xf numFmtId="0" fontId="15" fillId="0" borderId="19" xfId="64" applyNumberFormat="1" applyFont="1" applyFill="1" applyBorder="1" applyAlignment="1" applyProtection="1">
      <alignment/>
      <protection/>
    </xf>
    <xf numFmtId="42" fontId="8" fillId="0" borderId="0" xfId="44" applyNumberFormat="1" applyFont="1" applyFill="1" applyBorder="1" applyAlignment="1" applyProtection="1">
      <alignment/>
      <protection/>
    </xf>
    <xf numFmtId="37" fontId="12" fillId="0" borderId="10" xfId="63" applyNumberFormat="1" applyFont="1" applyFill="1" applyBorder="1" applyProtection="1">
      <alignment/>
      <protection/>
    </xf>
    <xf numFmtId="37" fontId="6" fillId="0" borderId="13" xfId="0" applyNumberFormat="1" applyFont="1" applyFill="1" applyBorder="1" applyAlignment="1" applyProtection="1">
      <alignment horizontal="right"/>
      <protection/>
    </xf>
    <xf numFmtId="37" fontId="8" fillId="0" borderId="38" xfId="42" applyNumberFormat="1" applyFont="1" applyFill="1" applyBorder="1" applyAlignment="1">
      <alignment/>
    </xf>
    <xf numFmtId="3" fontId="8" fillId="0" borderId="13" xfId="0" applyNumberFormat="1" applyFont="1" applyFill="1" applyBorder="1" applyAlignment="1" applyProtection="1">
      <alignment/>
      <protection/>
    </xf>
    <xf numFmtId="0" fontId="4" fillId="0" borderId="0" xfId="0" applyFont="1" applyAlignment="1">
      <alignment horizontal="center"/>
    </xf>
    <xf numFmtId="0" fontId="4" fillId="0" borderId="75" xfId="0" applyFont="1" applyBorder="1" applyAlignment="1">
      <alignment horizontal="center"/>
    </xf>
    <xf numFmtId="49" fontId="8" fillId="0" borderId="0" xfId="0" applyNumberFormat="1" applyFont="1" applyFill="1" applyBorder="1" applyAlignment="1" applyProtection="1">
      <alignment horizontal="right"/>
      <protection/>
    </xf>
    <xf numFmtId="0" fontId="0" fillId="0" borderId="0" xfId="0" applyBorder="1" applyAlignment="1" applyProtection="1">
      <alignment/>
      <protection/>
    </xf>
    <xf numFmtId="0" fontId="36" fillId="0" borderId="0" xfId="55"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3" fontId="8" fillId="0" borderId="0" xfId="0" applyNumberFormat="1" applyFont="1" applyFill="1" applyBorder="1" applyAlignment="1" applyProtection="1">
      <alignment horizontal="right"/>
      <protection/>
    </xf>
    <xf numFmtId="3" fontId="8" fillId="0" borderId="0" xfId="0" applyNumberFormat="1" applyFont="1" applyFill="1" applyBorder="1" applyAlignment="1" applyProtection="1">
      <alignment/>
      <protection/>
    </xf>
    <xf numFmtId="165" fontId="8"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49" fontId="8" fillId="0" borderId="0" xfId="0" applyNumberFormat="1" applyFont="1" applyFill="1" applyBorder="1" applyAlignment="1" applyProtection="1" quotePrefix="1">
      <alignment horizontal="left"/>
      <protection/>
    </xf>
    <xf numFmtId="0" fontId="6" fillId="0" borderId="0" xfId="61" applyFont="1">
      <alignment/>
      <protection/>
    </xf>
    <xf numFmtId="0" fontId="15" fillId="0" borderId="0" xfId="61" applyFont="1" applyProtection="1">
      <alignment/>
      <protection/>
    </xf>
    <xf numFmtId="37" fontId="13" fillId="32" borderId="0" xfId="61" applyNumberFormat="1" applyFont="1" applyFill="1" applyBorder="1" applyAlignment="1" applyProtection="1">
      <alignment horizontal="centerContinuous"/>
      <protection/>
    </xf>
    <xf numFmtId="175" fontId="15" fillId="32" borderId="0" xfId="61" applyNumberFormat="1" applyFont="1" applyFill="1">
      <alignment/>
      <protection/>
    </xf>
    <xf numFmtId="37" fontId="6" fillId="0" borderId="11" xfId="61" applyNumberFormat="1" applyFont="1" applyBorder="1" applyProtection="1">
      <alignment/>
      <protection/>
    </xf>
    <xf numFmtId="37" fontId="6" fillId="0" borderId="24" xfId="61" applyNumberFormat="1" applyFont="1" applyBorder="1" applyProtection="1">
      <alignment/>
      <protection/>
    </xf>
    <xf numFmtId="37" fontId="6" fillId="0" borderId="12" xfId="61" applyNumberFormat="1" applyFont="1" applyBorder="1" applyProtection="1">
      <alignment/>
      <protection/>
    </xf>
    <xf numFmtId="37" fontId="6" fillId="0" borderId="14" xfId="61" applyNumberFormat="1" applyFont="1" applyBorder="1" applyProtection="1">
      <alignment/>
      <protection/>
    </xf>
    <xf numFmtId="37" fontId="6" fillId="0" borderId="0" xfId="61" applyNumberFormat="1" applyFont="1" applyBorder="1" applyProtection="1">
      <alignment/>
      <protection/>
    </xf>
    <xf numFmtId="37" fontId="6" fillId="0" borderId="16" xfId="61" applyNumberFormat="1" applyFont="1" applyBorder="1" applyProtection="1">
      <alignment/>
      <protection/>
    </xf>
    <xf numFmtId="37" fontId="6" fillId="0" borderId="10" xfId="61" applyNumberFormat="1" applyFont="1" applyBorder="1" applyProtection="1">
      <alignment/>
      <protection/>
    </xf>
    <xf numFmtId="37" fontId="6" fillId="0" borderId="17" xfId="61" applyNumberFormat="1" applyFont="1" applyBorder="1" applyProtection="1">
      <alignment/>
      <protection/>
    </xf>
    <xf numFmtId="0" fontId="6" fillId="0" borderId="17" xfId="61" applyFont="1" applyBorder="1" applyAlignment="1" applyProtection="1">
      <alignment horizontal="center"/>
      <protection/>
    </xf>
    <xf numFmtId="0" fontId="6" fillId="0" borderId="20" xfId="61" applyFont="1" applyBorder="1" applyAlignment="1" applyProtection="1">
      <alignment horizontal="center"/>
      <protection/>
    </xf>
    <xf numFmtId="37" fontId="15" fillId="0" borderId="21" xfId="61" applyNumberFormat="1" applyFont="1" applyBorder="1" applyProtection="1">
      <alignment/>
      <protection/>
    </xf>
    <xf numFmtId="37" fontId="6" fillId="0" borderId="22" xfId="61" applyNumberFormat="1" applyFont="1" applyBorder="1" applyProtection="1">
      <alignment/>
      <protection/>
    </xf>
    <xf numFmtId="37" fontId="6" fillId="0" borderId="12" xfId="61" applyNumberFormat="1" applyFont="1" applyBorder="1" applyAlignment="1" applyProtection="1">
      <alignment horizontal="right"/>
      <protection/>
    </xf>
    <xf numFmtId="37" fontId="6" fillId="0" borderId="15" xfId="61" applyNumberFormat="1" applyFont="1" applyBorder="1" applyAlignment="1" applyProtection="1" quotePrefix="1">
      <alignment horizontal="right"/>
      <protection/>
    </xf>
    <xf numFmtId="37" fontId="6" fillId="0" borderId="15" xfId="61" applyNumberFormat="1" applyFont="1" applyBorder="1" applyAlignment="1" applyProtection="1">
      <alignment horizontal="right"/>
      <protection/>
    </xf>
    <xf numFmtId="37" fontId="6" fillId="0" borderId="28" xfId="61" applyNumberFormat="1" applyFont="1" applyBorder="1" applyAlignment="1" applyProtection="1">
      <alignment horizontal="right"/>
      <protection/>
    </xf>
    <xf numFmtId="0" fontId="8" fillId="0" borderId="0" xfId="61" applyFont="1" applyBorder="1" applyProtection="1">
      <alignment/>
      <protection/>
    </xf>
    <xf numFmtId="49" fontId="8" fillId="0" borderId="0" xfId="61" applyNumberFormat="1" applyFont="1" applyBorder="1" applyAlignment="1" applyProtection="1">
      <alignment horizontal="right"/>
      <protection/>
    </xf>
    <xf numFmtId="3" fontId="8" fillId="37" borderId="0" xfId="61" applyNumberFormat="1" applyFont="1" applyFill="1" applyBorder="1" applyAlignment="1" applyProtection="1">
      <alignment horizontal="right"/>
      <protection/>
    </xf>
    <xf numFmtId="3" fontId="8" fillId="0" borderId="0" xfId="61" applyNumberFormat="1" applyFont="1" applyFill="1" applyBorder="1" applyAlignment="1" applyProtection="1">
      <alignment horizontal="right"/>
      <protection/>
    </xf>
    <xf numFmtId="3" fontId="8" fillId="0" borderId="0" xfId="61" applyNumberFormat="1" applyFont="1" applyBorder="1" applyAlignment="1" applyProtection="1">
      <alignment horizontal="right"/>
      <protection/>
    </xf>
    <xf numFmtId="0" fontId="6" fillId="0" borderId="0" xfId="61" applyFont="1" applyFill="1" applyBorder="1" applyProtection="1">
      <alignment/>
      <protection/>
    </xf>
    <xf numFmtId="0" fontId="6" fillId="0" borderId="14" xfId="61" applyFont="1" applyBorder="1" applyProtection="1" quotePrefix="1">
      <alignment/>
      <protection/>
    </xf>
    <xf numFmtId="0" fontId="6" fillId="0" borderId="0" xfId="61" applyFont="1" applyBorder="1" applyProtection="1">
      <alignment/>
      <protection/>
    </xf>
    <xf numFmtId="37" fontId="15" fillId="0" borderId="14" xfId="61" applyNumberFormat="1" applyFont="1" applyBorder="1" applyAlignment="1" applyProtection="1">
      <alignment horizontal="left"/>
      <protection/>
    </xf>
    <xf numFmtId="37" fontId="15" fillId="0" borderId="0" xfId="61" applyNumberFormat="1" applyFont="1" applyBorder="1" applyAlignment="1" applyProtection="1">
      <alignment horizontal="left"/>
      <protection/>
    </xf>
    <xf numFmtId="37" fontId="15" fillId="0" borderId="15" xfId="61" applyNumberFormat="1" applyFont="1" applyBorder="1" applyAlignment="1" applyProtection="1">
      <alignment horizontal="left"/>
      <protection/>
    </xf>
    <xf numFmtId="0" fontId="10" fillId="0" borderId="0" xfId="0" applyFont="1" applyAlignment="1">
      <alignment wrapText="1"/>
    </xf>
    <xf numFmtId="0" fontId="10" fillId="0" borderId="0" xfId="0" applyFont="1" applyAlignment="1">
      <alignment vertical="center"/>
    </xf>
    <xf numFmtId="37" fontId="8" fillId="0" borderId="29" xfId="42" applyNumberFormat="1" applyFont="1" applyBorder="1" applyAlignment="1">
      <alignment/>
    </xf>
    <xf numFmtId="172" fontId="8" fillId="0" borderId="0" xfId="0" applyNumberFormat="1" applyFont="1" applyBorder="1" applyAlignment="1" applyProtection="1">
      <alignment/>
      <protection/>
    </xf>
    <xf numFmtId="37" fontId="8" fillId="0" borderId="0" xfId="42" applyNumberFormat="1" applyFont="1" applyBorder="1" applyAlignment="1">
      <alignment/>
    </xf>
    <xf numFmtId="37" fontId="8" fillId="0" borderId="29" xfId="42" applyNumberFormat="1" applyFont="1" applyFill="1" applyBorder="1" applyAlignment="1">
      <alignment/>
    </xf>
    <xf numFmtId="37" fontId="8" fillId="0" borderId="0" xfId="42" applyNumberFormat="1" applyFont="1" applyFill="1" applyBorder="1" applyAlignment="1">
      <alignment/>
    </xf>
    <xf numFmtId="0" fontId="25" fillId="0" borderId="0" xfId="0" applyFont="1" applyAlignment="1">
      <alignment/>
    </xf>
    <xf numFmtId="37" fontId="6" fillId="0" borderId="20" xfId="61" applyNumberFormat="1" applyFont="1" applyBorder="1" applyAlignment="1" applyProtection="1">
      <alignment horizontal="right"/>
      <protection locked="0"/>
    </xf>
    <xf numFmtId="37" fontId="6" fillId="0" borderId="28" xfId="61" applyNumberFormat="1" applyFont="1" applyBorder="1" applyAlignment="1" applyProtection="1">
      <alignment horizontal="right"/>
      <protection locked="0"/>
    </xf>
    <xf numFmtId="37" fontId="6" fillId="0" borderId="28" xfId="61" applyNumberFormat="1" applyFont="1" applyFill="1" applyBorder="1" applyAlignment="1" applyProtection="1">
      <alignment horizontal="right"/>
      <protection locked="0"/>
    </xf>
    <xf numFmtId="37" fontId="6" fillId="0" borderId="20" xfId="61" applyNumberFormat="1" applyFont="1" applyBorder="1" applyAlignment="1" applyProtection="1">
      <alignment horizontal="right"/>
      <protection/>
    </xf>
    <xf numFmtId="37" fontId="6" fillId="0" borderId="18" xfId="61" applyNumberFormat="1" applyFont="1" applyBorder="1" applyAlignment="1" applyProtection="1">
      <alignment horizontal="right"/>
      <protection/>
    </xf>
    <xf numFmtId="37" fontId="6" fillId="32" borderId="18" xfId="61" applyNumberFormat="1" applyFont="1" applyFill="1" applyBorder="1" applyAlignment="1">
      <alignment horizontal="right"/>
      <protection/>
    </xf>
    <xf numFmtId="37" fontId="6" fillId="0" borderId="0" xfId="61" applyNumberFormat="1" applyFont="1" applyAlignment="1">
      <alignment horizontal="right"/>
      <protection/>
    </xf>
    <xf numFmtId="38" fontId="99" fillId="0" borderId="0" xfId="0" applyNumberFormat="1" applyFont="1" applyFill="1" applyBorder="1" applyAlignment="1">
      <alignment/>
    </xf>
    <xf numFmtId="42" fontId="8" fillId="0" borderId="38" xfId="44" applyNumberFormat="1" applyFont="1" applyFill="1" applyBorder="1" applyAlignment="1" applyProtection="1">
      <alignment/>
      <protection locked="0"/>
    </xf>
    <xf numFmtId="3" fontId="8" fillId="0" borderId="18" xfId="0" applyNumberFormat="1" applyFont="1" applyFill="1" applyBorder="1" applyAlignment="1" applyProtection="1">
      <alignment/>
      <protection/>
    </xf>
    <xf numFmtId="0" fontId="9" fillId="0" borderId="0" xfId="0" applyFont="1" applyFill="1" applyAlignment="1" applyProtection="1">
      <alignment horizontal="center"/>
      <protection/>
    </xf>
    <xf numFmtId="0" fontId="45" fillId="0" borderId="0" xfId="0" applyFont="1" applyFill="1" applyAlignment="1" applyProtection="1">
      <alignment horizontal="center"/>
      <protection/>
    </xf>
    <xf numFmtId="37" fontId="4" fillId="0" borderId="76" xfId="0" applyNumberFormat="1" applyFont="1" applyFill="1" applyBorder="1" applyAlignment="1" applyProtection="1">
      <alignment horizontal="right"/>
      <protection locked="0"/>
    </xf>
    <xf numFmtId="37" fontId="6" fillId="32" borderId="20" xfId="61" applyNumberFormat="1" applyFont="1" applyFill="1" applyBorder="1" applyAlignment="1" applyProtection="1">
      <alignment horizontal="right"/>
      <protection locked="0"/>
    </xf>
    <xf numFmtId="0" fontId="100" fillId="0" borderId="14" xfId="0" applyFont="1" applyBorder="1" applyAlignment="1">
      <alignment/>
    </xf>
    <xf numFmtId="165" fontId="14" fillId="0" borderId="20" xfId="64" applyNumberFormat="1" applyFont="1" applyFill="1" applyBorder="1" applyAlignment="1" applyProtection="1">
      <alignment horizontal="right"/>
      <protection/>
    </xf>
    <xf numFmtId="37" fontId="6" fillId="0" borderId="17" xfId="61" applyNumberFormat="1" applyFont="1" applyFill="1" applyBorder="1" applyAlignment="1" applyProtection="1">
      <alignment horizontal="right"/>
      <protection/>
    </xf>
    <xf numFmtId="37" fontId="6" fillId="0" borderId="20" xfId="61" applyNumberFormat="1" applyFont="1" applyFill="1" applyBorder="1" applyAlignment="1">
      <alignment horizontal="right"/>
      <protection/>
    </xf>
    <xf numFmtId="0" fontId="36" fillId="39" borderId="0" xfId="55" applyFont="1" applyFill="1" applyAlignment="1" applyProtection="1">
      <alignment vertical="top"/>
      <protection/>
    </xf>
    <xf numFmtId="0" fontId="8" fillId="0" borderId="0" xfId="0" applyFont="1" applyAlignment="1">
      <alignment horizontal="right" wrapText="1"/>
    </xf>
    <xf numFmtId="0" fontId="8" fillId="0" borderId="0" xfId="0" applyFont="1" applyFill="1" applyAlignment="1">
      <alignment horizontal="left" wrapText="1"/>
    </xf>
    <xf numFmtId="0" fontId="8" fillId="0" borderId="0" xfId="0" applyFont="1" applyAlignment="1">
      <alignment horizontal="left" vertical="top" wrapText="1"/>
    </xf>
    <xf numFmtId="37" fontId="47" fillId="39" borderId="11" xfId="55" applyNumberFormat="1" applyFont="1" applyFill="1" applyBorder="1" applyAlignment="1" applyProtection="1">
      <alignment/>
      <protection/>
    </xf>
    <xf numFmtId="175" fontId="6" fillId="32" borderId="0" xfId="61" applyNumberFormat="1" applyFont="1" applyFill="1" applyProtection="1">
      <alignment/>
      <protection/>
    </xf>
    <xf numFmtId="37" fontId="8" fillId="0" borderId="38" xfId="42" applyNumberFormat="1" applyFont="1" applyFill="1" applyBorder="1" applyAlignment="1" applyProtection="1">
      <alignment/>
      <protection locked="0"/>
    </xf>
    <xf numFmtId="0" fontId="4" fillId="0" borderId="75" xfId="0" applyFont="1" applyBorder="1" applyAlignment="1" applyProtection="1">
      <alignment horizontal="center"/>
      <protection/>
    </xf>
    <xf numFmtId="37" fontId="13" fillId="0" borderId="20" xfId="65" applyNumberFormat="1" applyFont="1" applyFill="1" applyBorder="1" applyAlignment="1" applyProtection="1">
      <alignment horizontal="center"/>
      <protection/>
    </xf>
    <xf numFmtId="0" fontId="25" fillId="0" borderId="0" xfId="0" applyFont="1" applyFill="1" applyAlignment="1">
      <alignment/>
    </xf>
    <xf numFmtId="37" fontId="4" fillId="0" borderId="0" xfId="0" applyNumberFormat="1" applyFont="1" applyFill="1" applyBorder="1" applyAlignment="1" applyProtection="1">
      <alignment/>
      <protection/>
    </xf>
    <xf numFmtId="37" fontId="8" fillId="0" borderId="0" xfId="42" applyNumberFormat="1" applyFont="1" applyBorder="1" applyAlignment="1" applyProtection="1">
      <alignment/>
      <protection/>
    </xf>
    <xf numFmtId="37" fontId="8" fillId="0" borderId="0" xfId="44" applyNumberFormat="1" applyFont="1" applyBorder="1" applyAlignment="1" applyProtection="1">
      <alignment/>
      <protection/>
    </xf>
    <xf numFmtId="165" fontId="8" fillId="36" borderId="53" xfId="0" applyNumberFormat="1" applyFont="1" applyFill="1" applyBorder="1" applyAlignment="1" applyProtection="1">
      <alignment horizontal="right"/>
      <protection/>
    </xf>
    <xf numFmtId="1" fontId="8" fillId="0" borderId="0" xfId="44" applyNumberFormat="1" applyFont="1" applyFill="1" applyBorder="1" applyAlignment="1" applyProtection="1">
      <alignment/>
      <protection/>
    </xf>
    <xf numFmtId="0" fontId="6" fillId="0" borderId="45" xfId="0" applyFont="1" applyFill="1" applyBorder="1" applyAlignment="1" applyProtection="1">
      <alignment horizontal="center"/>
      <protection/>
    </xf>
    <xf numFmtId="0" fontId="15" fillId="0" borderId="0" xfId="61" applyFont="1" applyFill="1" applyAlignment="1" applyProtection="1">
      <alignment/>
      <protection/>
    </xf>
    <xf numFmtId="0" fontId="15" fillId="0" borderId="0" xfId="61" applyFont="1" applyFill="1" applyAlignment="1" applyProtection="1">
      <alignment horizontal="centerContinuous"/>
      <protection/>
    </xf>
    <xf numFmtId="0" fontId="101" fillId="39" borderId="0" xfId="55" applyFont="1" applyFill="1" applyAlignment="1" applyProtection="1">
      <alignment vertical="top"/>
      <protection/>
    </xf>
    <xf numFmtId="0" fontId="3" fillId="0" borderId="0" xfId="0" applyFont="1" applyFill="1" applyAlignment="1">
      <alignment vertical="top" wrapText="1"/>
    </xf>
    <xf numFmtId="0" fontId="30" fillId="33" borderId="0" xfId="63" applyNumberFormat="1" applyFont="1" applyFill="1" applyAlignment="1" applyProtection="1">
      <alignment horizontal="centerContinuous" vertical="center"/>
      <protection/>
    </xf>
    <xf numFmtId="0" fontId="20" fillId="33" borderId="29" xfId="65" applyNumberFormat="1" applyBorder="1">
      <alignment/>
      <protection/>
    </xf>
    <xf numFmtId="37" fontId="6" fillId="0" borderId="15" xfId="61" applyNumberFormat="1" applyFont="1" applyFill="1" applyBorder="1" applyAlignment="1" applyProtection="1">
      <alignment horizontal="right"/>
      <protection/>
    </xf>
    <xf numFmtId="37" fontId="6" fillId="0" borderId="20" xfId="61" applyNumberFormat="1" applyFont="1" applyFill="1" applyBorder="1" applyAlignment="1" applyProtection="1">
      <alignment horizontal="right"/>
      <protection/>
    </xf>
    <xf numFmtId="37" fontId="6" fillId="0" borderId="23" xfId="61" applyNumberFormat="1" applyFont="1" applyFill="1" applyBorder="1" applyAlignment="1" applyProtection="1">
      <alignment horizontal="right"/>
      <protection/>
    </xf>
    <xf numFmtId="37" fontId="6" fillId="0" borderId="23" xfId="61" applyNumberFormat="1" applyFont="1" applyFill="1" applyBorder="1" applyAlignment="1">
      <alignment horizontal="right"/>
      <protection/>
    </xf>
    <xf numFmtId="37" fontId="6" fillId="0" borderId="18" xfId="61" applyNumberFormat="1" applyFont="1" applyFill="1" applyBorder="1" applyAlignment="1">
      <alignment horizontal="right"/>
      <protection/>
    </xf>
    <xf numFmtId="37" fontId="6" fillId="0" borderId="28" xfId="61" applyNumberFormat="1" applyFont="1" applyFill="1" applyBorder="1" applyAlignment="1" applyProtection="1">
      <alignment horizontal="right"/>
      <protection/>
    </xf>
    <xf numFmtId="37" fontId="6" fillId="0" borderId="28" xfId="61" applyNumberFormat="1" applyFont="1" applyFill="1" applyBorder="1" applyAlignment="1">
      <alignment horizontal="right"/>
      <protection/>
    </xf>
    <xf numFmtId="0" fontId="15" fillId="0" borderId="46" xfId="0" applyFont="1" applyFill="1" applyBorder="1" applyAlignment="1">
      <alignment/>
    </xf>
    <xf numFmtId="0" fontId="15" fillId="0" borderId="73" xfId="0" applyFont="1" applyFill="1" applyBorder="1" applyAlignment="1">
      <alignment horizontal="center"/>
    </xf>
    <xf numFmtId="0" fontId="15" fillId="0" borderId="39" xfId="0" applyFont="1" applyFill="1" applyBorder="1" applyAlignment="1">
      <alignment horizontal="center"/>
    </xf>
    <xf numFmtId="0" fontId="6" fillId="0" borderId="45" xfId="0" applyFont="1" applyFill="1" applyBorder="1" applyAlignment="1">
      <alignment/>
    </xf>
    <xf numFmtId="0" fontId="6" fillId="0" borderId="45" xfId="0" applyFont="1" applyBorder="1" applyAlignment="1" applyProtection="1">
      <alignment/>
      <protection/>
    </xf>
    <xf numFmtId="0" fontId="6" fillId="0" borderId="45" xfId="0" applyFont="1" applyBorder="1" applyAlignment="1" applyProtection="1">
      <alignment horizontal="left"/>
      <protection/>
    </xf>
    <xf numFmtId="0" fontId="6" fillId="0" borderId="45" xfId="0" applyFont="1" applyFill="1" applyBorder="1" applyAlignment="1" applyProtection="1">
      <alignment/>
      <protection/>
    </xf>
    <xf numFmtId="0" fontId="6" fillId="0" borderId="45" xfId="0" applyFont="1" applyFill="1" applyBorder="1" applyAlignment="1" applyProtection="1">
      <alignment horizontal="left"/>
      <protection/>
    </xf>
    <xf numFmtId="0" fontId="6" fillId="0" borderId="45" xfId="0" applyFont="1" applyFill="1" applyBorder="1" applyAlignment="1">
      <alignment horizontal="left"/>
    </xf>
    <xf numFmtId="0" fontId="6" fillId="0" borderId="45" xfId="0" applyFont="1" applyBorder="1" applyAlignment="1" applyProtection="1">
      <alignment/>
      <protection locked="0"/>
    </xf>
    <xf numFmtId="49" fontId="6" fillId="0" borderId="45" xfId="0" applyNumberFormat="1" applyFont="1" applyBorder="1" applyAlignment="1" applyProtection="1">
      <alignment horizontal="left"/>
      <protection locked="0"/>
    </xf>
    <xf numFmtId="0" fontId="6" fillId="0" borderId="45" xfId="0" applyFont="1" applyFill="1" applyBorder="1" applyAlignment="1" applyProtection="1">
      <alignment/>
      <protection locked="0"/>
    </xf>
    <xf numFmtId="3" fontId="6" fillId="33" borderId="73" xfId="65" applyNumberFormat="1" applyFont="1" applyBorder="1">
      <alignment/>
      <protection/>
    </xf>
    <xf numFmtId="3" fontId="6" fillId="33" borderId="39" xfId="65" applyNumberFormat="1" applyFont="1" applyBorder="1">
      <alignment/>
      <protection/>
    </xf>
    <xf numFmtId="3" fontId="6" fillId="0" borderId="73" xfId="0" applyNumberFormat="1" applyFont="1" applyBorder="1" applyAlignment="1">
      <alignment/>
    </xf>
    <xf numFmtId="3" fontId="6" fillId="0" borderId="39" xfId="0" applyNumberFormat="1" applyFont="1" applyBorder="1" applyAlignment="1">
      <alignment/>
    </xf>
    <xf numFmtId="3" fontId="6" fillId="33" borderId="43" xfId="65" applyNumberFormat="1" applyFont="1" applyBorder="1">
      <alignment/>
      <protection/>
    </xf>
    <xf numFmtId="0" fontId="8" fillId="0" borderId="0" xfId="0" applyFont="1" applyFill="1" applyAlignment="1" applyProtection="1">
      <alignment horizontal="centerContinuous" wrapText="1"/>
      <protection/>
    </xf>
    <xf numFmtId="0" fontId="8" fillId="0" borderId="45" xfId="0" applyFont="1" applyFill="1" applyBorder="1" applyAlignment="1">
      <alignment horizontal="center"/>
    </xf>
    <xf numFmtId="0" fontId="8" fillId="0" borderId="70" xfId="0" applyFont="1" applyFill="1" applyBorder="1" applyAlignment="1" applyProtection="1">
      <alignment horizontal="center"/>
      <protection/>
    </xf>
    <xf numFmtId="37" fontId="6" fillId="0" borderId="14" xfId="61" applyNumberFormat="1" applyFont="1" applyFill="1" applyBorder="1" applyProtection="1">
      <alignment/>
      <protection/>
    </xf>
    <xf numFmtId="0" fontId="10" fillId="0" borderId="0" xfId="63" applyNumberFormat="1" applyFont="1" applyFill="1" applyBorder="1" applyAlignment="1">
      <alignment/>
      <protection/>
    </xf>
    <xf numFmtId="0" fontId="8" fillId="0" borderId="0" xfId="0" applyFont="1" applyFill="1" applyBorder="1" applyAlignment="1">
      <alignment wrapText="1"/>
    </xf>
    <xf numFmtId="0" fontId="2" fillId="0" borderId="0" xfId="0" applyFont="1" applyFill="1" applyAlignment="1" applyProtection="1">
      <alignment/>
      <protection/>
    </xf>
    <xf numFmtId="49" fontId="36" fillId="0" borderId="0" xfId="55" applyNumberFormat="1" applyFont="1" applyFill="1" applyAlignment="1" applyProtection="1" quotePrefix="1">
      <alignment horizontal="right" vertical="top"/>
      <protection/>
    </xf>
    <xf numFmtId="37" fontId="8" fillId="33" borderId="43" xfId="63" applyNumberFormat="1" applyFont="1" applyBorder="1" applyProtection="1">
      <alignment/>
      <protection locked="0"/>
    </xf>
    <xf numFmtId="0" fontId="10" fillId="0" borderId="0" xfId="63" applyNumberFormat="1" applyFont="1" applyFill="1" applyBorder="1">
      <alignment/>
      <protection/>
    </xf>
    <xf numFmtId="0" fontId="18" fillId="0" borderId="0" xfId="63" applyNumberFormat="1" applyFill="1" applyBorder="1" applyAlignment="1">
      <alignment/>
      <protection/>
    </xf>
    <xf numFmtId="0" fontId="8" fillId="0" borderId="0" xfId="63" applyNumberFormat="1" applyFont="1" applyFill="1" applyBorder="1" applyAlignment="1" quotePrefix="1">
      <alignment wrapText="1"/>
      <protection/>
    </xf>
    <xf numFmtId="0" fontId="8" fillId="0" borderId="0" xfId="0" applyFont="1" applyFill="1" applyBorder="1" applyAlignment="1" applyProtection="1">
      <alignment wrapText="1"/>
      <protection/>
    </xf>
    <xf numFmtId="0" fontId="18" fillId="0" borderId="0" xfId="63" applyNumberFormat="1" applyFill="1" applyBorder="1" applyProtection="1">
      <alignment/>
      <protection/>
    </xf>
    <xf numFmtId="0" fontId="8" fillId="0" borderId="0" xfId="63" applyNumberFormat="1" applyFont="1" applyFill="1" applyBorder="1" applyAlignment="1" applyProtection="1" quotePrefix="1">
      <alignment horizontal="justify"/>
      <protection/>
    </xf>
    <xf numFmtId="0" fontId="10" fillId="0" borderId="0" xfId="63" applyNumberFormat="1" applyFont="1" applyFill="1" applyBorder="1" applyAlignment="1" applyProtection="1">
      <alignment/>
      <protection/>
    </xf>
    <xf numFmtId="0" fontId="18" fillId="33" borderId="0" xfId="63" applyNumberFormat="1" applyFont="1" applyBorder="1" applyProtection="1">
      <alignment/>
      <protection/>
    </xf>
    <xf numFmtId="49" fontId="11" fillId="0" borderId="0" xfId="55" applyNumberFormat="1" applyFont="1" applyFill="1" applyAlignment="1" applyProtection="1" quotePrefix="1">
      <alignment horizontal="right"/>
      <protection/>
    </xf>
    <xf numFmtId="0" fontId="2" fillId="0" borderId="0" xfId="0" applyFont="1" applyAlignment="1" applyProtection="1">
      <alignment/>
      <protection/>
    </xf>
    <xf numFmtId="49" fontId="24" fillId="0" borderId="0" xfId="63" applyNumberFormat="1" applyFont="1" applyFill="1" applyAlignment="1" applyProtection="1">
      <alignment horizontal="left"/>
      <protection/>
    </xf>
    <xf numFmtId="49" fontId="4" fillId="0" borderId="0" xfId="55" applyNumberFormat="1" applyFont="1" applyFill="1" applyAlignment="1" applyProtection="1" quotePrefix="1">
      <alignment horizontal="left"/>
      <protection/>
    </xf>
    <xf numFmtId="0" fontId="8" fillId="0" borderId="0" xfId="0" applyFont="1" applyBorder="1" applyAlignment="1" applyProtection="1" quotePrefix="1">
      <alignment horizontal="right"/>
      <protection/>
    </xf>
    <xf numFmtId="0" fontId="8" fillId="0" borderId="0" xfId="0" applyFont="1" applyFill="1" applyBorder="1" applyAlignment="1" applyProtection="1" quotePrefix="1">
      <alignment horizontal="right"/>
      <protection/>
    </xf>
    <xf numFmtId="0" fontId="10" fillId="0" borderId="0" xfId="63" applyNumberFormat="1" applyFont="1" applyFill="1" applyBorder="1" applyProtection="1">
      <alignment/>
      <protection/>
    </xf>
    <xf numFmtId="0" fontId="8" fillId="0" borderId="0" xfId="63" applyNumberFormat="1" applyFont="1" applyFill="1" applyBorder="1" applyAlignment="1" applyProtection="1" quotePrefix="1">
      <alignment horizontal="right"/>
      <protection/>
    </xf>
    <xf numFmtId="0" fontId="8" fillId="33" borderId="0" xfId="63" applyNumberFormat="1" applyFont="1" applyBorder="1" applyProtection="1">
      <alignment/>
      <protection/>
    </xf>
    <xf numFmtId="0" fontId="8" fillId="0" borderId="0" xfId="63" applyNumberFormat="1" applyFont="1" applyFill="1" applyBorder="1" applyAlignment="1" applyProtection="1" quotePrefix="1">
      <alignment/>
      <protection/>
    </xf>
    <xf numFmtId="0" fontId="8" fillId="0" borderId="0" xfId="63" applyNumberFormat="1" applyFont="1" applyFill="1" applyBorder="1" applyAlignment="1" applyProtection="1">
      <alignment horizontal="right"/>
      <protection/>
    </xf>
    <xf numFmtId="49" fontId="24" fillId="33" borderId="0" xfId="63" applyNumberFormat="1" applyFont="1" applyFill="1" applyBorder="1" applyAlignment="1" applyProtection="1">
      <alignment horizontal="right" vertical="top"/>
      <protection/>
    </xf>
    <xf numFmtId="49" fontId="24" fillId="0" borderId="0" xfId="63" applyNumberFormat="1" applyFont="1" applyFill="1" applyBorder="1" applyAlignment="1" applyProtection="1">
      <alignment horizontal="right" vertical="top"/>
      <protection/>
    </xf>
    <xf numFmtId="37" fontId="6" fillId="0" borderId="13" xfId="61" applyNumberFormat="1" applyFont="1" applyBorder="1" applyAlignment="1" applyProtection="1">
      <alignment horizontal="right"/>
      <protection locked="0"/>
    </xf>
    <xf numFmtId="37" fontId="6" fillId="0" borderId="10" xfId="61" applyNumberFormat="1" applyFont="1" applyFill="1" applyBorder="1" applyAlignment="1" applyProtection="1">
      <alignment horizontal="right"/>
      <protection/>
    </xf>
    <xf numFmtId="37" fontId="6" fillId="0" borderId="10" xfId="61" applyNumberFormat="1" applyFont="1" applyBorder="1" applyAlignment="1" applyProtection="1">
      <alignment horizontal="right"/>
      <protection/>
    </xf>
    <xf numFmtId="0" fontId="10" fillId="0" borderId="0" xfId="63" applyNumberFormat="1" applyFont="1" applyFill="1" applyBorder="1" applyAlignment="1">
      <alignment wrapText="1"/>
      <protection/>
    </xf>
    <xf numFmtId="0" fontId="5" fillId="0" borderId="0"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0" fillId="0" borderId="0" xfId="0" applyFill="1" applyAlignment="1">
      <alignment/>
    </xf>
    <xf numFmtId="0" fontId="2" fillId="0" borderId="0" xfId="0" applyFont="1" applyFill="1" applyAlignment="1" applyProtection="1">
      <alignment horizontal="right"/>
      <protection/>
    </xf>
    <xf numFmtId="0" fontId="2" fillId="0" borderId="0" xfId="0" applyFont="1" applyFill="1" applyAlignment="1" applyProtection="1">
      <alignment horizontal="justify"/>
      <protection/>
    </xf>
    <xf numFmtId="37" fontId="4" fillId="0" borderId="38" xfId="0" applyNumberFormat="1" applyFont="1" applyFill="1" applyBorder="1" applyAlignment="1" applyProtection="1">
      <alignment/>
      <protection locked="0"/>
    </xf>
    <xf numFmtId="49" fontId="4" fillId="0" borderId="0" xfId="63" applyNumberFormat="1" applyFont="1" applyFill="1" applyAlignment="1" applyProtection="1">
      <alignment horizontal="right"/>
      <protection/>
    </xf>
    <xf numFmtId="0" fontId="2" fillId="0" borderId="0" xfId="0" applyFont="1" applyFill="1" applyBorder="1" applyAlignment="1" applyProtection="1">
      <alignment/>
      <protection/>
    </xf>
    <xf numFmtId="0" fontId="24" fillId="0" borderId="0" xfId="63" applyNumberFormat="1" applyFont="1" applyFill="1" applyAlignment="1" applyProtection="1">
      <alignment horizontal="right"/>
      <protection/>
    </xf>
    <xf numFmtId="37" fontId="4" fillId="0" borderId="38" xfId="0" applyNumberFormat="1" applyFont="1" applyFill="1" applyBorder="1" applyAlignment="1" applyProtection="1">
      <alignment/>
      <protection/>
    </xf>
    <xf numFmtId="37" fontId="4" fillId="0" borderId="29" xfId="0" applyNumberFormat="1" applyFont="1" applyFill="1" applyBorder="1" applyAlignment="1" applyProtection="1">
      <alignment/>
      <protection/>
    </xf>
    <xf numFmtId="0" fontId="36" fillId="0" borderId="0" xfId="0" applyFont="1" applyFill="1" applyAlignment="1" quotePrefix="1">
      <alignment/>
    </xf>
    <xf numFmtId="37" fontId="4" fillId="0" borderId="77"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0" fontId="4" fillId="0" borderId="0" xfId="0" applyFont="1" applyFill="1" applyAlignment="1" applyProtection="1">
      <alignment vertical="top"/>
      <protection/>
    </xf>
    <xf numFmtId="0" fontId="2" fillId="0" borderId="0" xfId="0" applyFont="1" applyFill="1" applyAlignment="1">
      <alignment horizontal="justify" vertical="top" wrapText="1"/>
    </xf>
    <xf numFmtId="0" fontId="4" fillId="0" borderId="78" xfId="0" applyFont="1" applyBorder="1" applyAlignment="1" applyProtection="1">
      <alignment/>
      <protection/>
    </xf>
    <xf numFmtId="165" fontId="8" fillId="36" borderId="0" xfId="0" applyNumberFormat="1" applyFont="1" applyFill="1" applyBorder="1" applyAlignment="1" applyProtection="1">
      <alignment horizontal="right"/>
      <protection/>
    </xf>
    <xf numFmtId="49" fontId="8" fillId="0" borderId="0" xfId="0" applyNumberFormat="1" applyFont="1" applyBorder="1" applyAlignment="1" applyProtection="1" quotePrefix="1">
      <alignment horizontal="left"/>
      <protection/>
    </xf>
    <xf numFmtId="0" fontId="8" fillId="0" borderId="0" xfId="0" applyFont="1" applyFill="1" applyAlignment="1" applyProtection="1">
      <alignment vertical="top" wrapText="1"/>
      <protection/>
    </xf>
    <xf numFmtId="49" fontId="36" fillId="0" borderId="0" xfId="55" applyNumberFormat="1" applyFont="1" applyFill="1" applyBorder="1" applyAlignment="1" applyProtection="1" quotePrefix="1">
      <alignment horizontal="right"/>
      <protection/>
    </xf>
    <xf numFmtId="49" fontId="8" fillId="0" borderId="15" xfId="0" applyNumberFormat="1" applyFont="1" applyBorder="1" applyAlignment="1" applyProtection="1" quotePrefix="1">
      <alignment horizontal="right"/>
      <protection/>
    </xf>
    <xf numFmtId="0" fontId="8" fillId="0" borderId="24" xfId="0" applyFont="1" applyBorder="1" applyAlignment="1" applyProtection="1">
      <alignment horizontal="center"/>
      <protection/>
    </xf>
    <xf numFmtId="0" fontId="0" fillId="0" borderId="0" xfId="0" applyFill="1" applyAlignment="1">
      <alignment horizontal="justify" wrapText="1"/>
    </xf>
    <xf numFmtId="37" fontId="12" fillId="0" borderId="0" xfId="63" applyNumberFormat="1" applyFont="1" applyFill="1" applyAlignment="1" applyProtection="1">
      <alignment horizontal="justify" vertical="top" wrapText="1"/>
      <protection/>
    </xf>
    <xf numFmtId="37" fontId="12" fillId="0" borderId="0" xfId="63" applyNumberFormat="1" applyFont="1" applyFill="1" applyBorder="1" applyAlignment="1" applyProtection="1">
      <alignment horizontal="left" vertical="top" wrapText="1"/>
      <protection/>
    </xf>
    <xf numFmtId="37" fontId="12" fillId="0" borderId="0" xfId="63" applyNumberFormat="1" applyFont="1" applyFill="1" applyBorder="1" applyAlignment="1" applyProtection="1">
      <alignment vertical="top" wrapText="1"/>
      <protection/>
    </xf>
    <xf numFmtId="37" fontId="12" fillId="0" borderId="0" xfId="63" applyNumberFormat="1" applyFont="1" applyFill="1" applyAlignment="1" applyProtection="1">
      <alignment horizontal="left" vertical="top" wrapText="1"/>
      <protection/>
    </xf>
    <xf numFmtId="0" fontId="36" fillId="39" borderId="23" xfId="55" applyFont="1" applyFill="1" applyBorder="1" applyAlignment="1" applyProtection="1" quotePrefix="1">
      <alignment horizontal="right" vertical="center"/>
      <protection/>
    </xf>
    <xf numFmtId="0" fontId="8" fillId="0" borderId="0" xfId="0" applyFont="1" applyFill="1" applyAlignment="1" applyProtection="1">
      <alignment wrapText="1"/>
      <protection/>
    </xf>
    <xf numFmtId="165" fontId="8" fillId="0" borderId="0" xfId="0" applyNumberFormat="1" applyFont="1" applyFill="1" applyBorder="1" applyAlignment="1" applyProtection="1">
      <alignment/>
      <protection/>
    </xf>
    <xf numFmtId="165" fontId="8" fillId="0" borderId="20" xfId="0" applyNumberFormat="1" applyFont="1" applyFill="1" applyBorder="1" applyAlignment="1" applyProtection="1">
      <alignment/>
      <protection/>
    </xf>
    <xf numFmtId="49" fontId="8" fillId="0" borderId="0" xfId="0" applyNumberFormat="1" applyFont="1" applyFill="1" applyAlignment="1" applyProtection="1" quotePrefix="1">
      <alignment horizontal="left"/>
      <protection/>
    </xf>
    <xf numFmtId="0" fontId="3" fillId="0" borderId="0" xfId="0" applyFont="1" applyFill="1" applyAlignment="1" applyProtection="1">
      <alignment horizontal="left"/>
      <protection/>
    </xf>
    <xf numFmtId="170" fontId="4" fillId="0" borderId="0" xfId="0" applyNumberFormat="1" applyFont="1" applyFill="1" applyBorder="1" applyAlignment="1" applyProtection="1">
      <alignment/>
      <protection/>
    </xf>
    <xf numFmtId="0" fontId="5" fillId="0" borderId="0" xfId="0" applyFont="1" applyFill="1" applyAlignment="1">
      <alignment horizontal="right" wrapText="1"/>
    </xf>
    <xf numFmtId="0" fontId="4" fillId="0" borderId="0" xfId="44" applyNumberFormat="1" applyFont="1" applyFill="1" applyBorder="1" applyAlignment="1" applyProtection="1">
      <alignment horizontal="right"/>
      <protection/>
    </xf>
    <xf numFmtId="42" fontId="4" fillId="0" borderId="0" xfId="44" applyNumberFormat="1" applyFont="1" applyFill="1" applyBorder="1" applyAlignment="1" applyProtection="1">
      <alignment horizontal="right"/>
      <protection/>
    </xf>
    <xf numFmtId="37" fontId="6" fillId="0" borderId="0" xfId="61" applyNumberFormat="1" applyFont="1" applyFill="1" applyBorder="1" applyProtection="1">
      <alignment/>
      <protection/>
    </xf>
    <xf numFmtId="37" fontId="6" fillId="0" borderId="15" xfId="61" applyNumberFormat="1" applyFont="1" applyFill="1" applyBorder="1" applyAlignment="1" applyProtection="1" quotePrefix="1">
      <alignment horizontal="right"/>
      <protection/>
    </xf>
    <xf numFmtId="0" fontId="6" fillId="0" borderId="14" xfId="61" applyFont="1" applyFill="1" applyBorder="1" applyProtection="1" quotePrefix="1">
      <alignment/>
      <protection/>
    </xf>
    <xf numFmtId="37" fontId="6" fillId="0" borderId="16" xfId="61" applyNumberFormat="1" applyFont="1" applyFill="1" applyBorder="1" applyProtection="1">
      <alignment/>
      <protection/>
    </xf>
    <xf numFmtId="37" fontId="6" fillId="0" borderId="10" xfId="61" applyNumberFormat="1" applyFont="1" applyFill="1" applyBorder="1" applyProtection="1">
      <alignment/>
      <protection/>
    </xf>
    <xf numFmtId="37" fontId="6" fillId="0" borderId="17" xfId="61" applyNumberFormat="1" applyFont="1" applyFill="1" applyBorder="1" applyAlignment="1" applyProtection="1" quotePrefix="1">
      <alignment horizontal="right"/>
      <protection/>
    </xf>
    <xf numFmtId="0" fontId="6" fillId="0" borderId="0" xfId="61" applyFont="1" applyFill="1" applyProtection="1" quotePrefix="1">
      <alignment/>
      <protection/>
    </xf>
    <xf numFmtId="37" fontId="6" fillId="0" borderId="0" xfId="61" applyNumberFormat="1" applyFont="1" applyFill="1" applyBorder="1" applyAlignment="1" applyProtection="1" quotePrefix="1">
      <alignment horizontal="right"/>
      <protection/>
    </xf>
    <xf numFmtId="37" fontId="6" fillId="0" borderId="39" xfId="61" applyNumberFormat="1" applyFont="1" applyFill="1" applyBorder="1" applyAlignment="1" applyProtection="1">
      <alignment horizontal="right"/>
      <protection/>
    </xf>
    <xf numFmtId="0" fontId="6" fillId="0" borderId="0" xfId="61" applyFont="1" applyFill="1" applyBorder="1" applyProtection="1" quotePrefix="1">
      <alignment/>
      <protection/>
    </xf>
    <xf numFmtId="0" fontId="12" fillId="0" borderId="0" xfId="0" applyFont="1" applyFill="1" applyAlignment="1" applyProtection="1" quotePrefix="1">
      <alignment horizontal="right"/>
      <protection/>
    </xf>
    <xf numFmtId="49" fontId="8" fillId="0" borderId="0" xfId="0" applyNumberFormat="1" applyFont="1" applyFill="1" applyAlignment="1" applyProtection="1" quotePrefix="1">
      <alignment horizontal="right"/>
      <protection/>
    </xf>
    <xf numFmtId="0" fontId="12" fillId="0" borderId="0" xfId="0" applyFont="1" applyFill="1" applyAlignment="1" applyProtection="1" quotePrefix="1">
      <alignment horizontal="left"/>
      <protection/>
    </xf>
    <xf numFmtId="37" fontId="8" fillId="0" borderId="20" xfId="0" applyNumberFormat="1" applyFont="1" applyFill="1" applyBorder="1" applyAlignment="1" applyProtection="1">
      <alignment/>
      <protection locked="0"/>
    </xf>
    <xf numFmtId="0" fontId="8" fillId="0" borderId="0" xfId="0" applyFont="1" applyFill="1" applyAlignment="1" applyProtection="1" quotePrefix="1">
      <alignment horizontal="left"/>
      <protection/>
    </xf>
    <xf numFmtId="37" fontId="8" fillId="0" borderId="13" xfId="0" applyNumberFormat="1" applyFont="1" applyFill="1" applyBorder="1" applyAlignment="1" applyProtection="1">
      <alignment/>
      <protection/>
    </xf>
    <xf numFmtId="49" fontId="8" fillId="0" borderId="0" xfId="0" applyNumberFormat="1" applyFont="1" applyFill="1" applyAlignment="1">
      <alignment horizontal="left"/>
    </xf>
    <xf numFmtId="0" fontId="8" fillId="0" borderId="0" xfId="66" applyNumberFormat="1" applyFont="1" applyFill="1" applyAlignment="1" applyProtection="1">
      <alignment vertical="top" wrapText="1"/>
      <protection/>
    </xf>
    <xf numFmtId="37" fontId="12" fillId="0" borderId="29" xfId="63" applyNumberFormat="1" applyFont="1" applyFill="1" applyBorder="1" applyAlignment="1" applyProtection="1" quotePrefix="1">
      <alignment/>
      <protection/>
    </xf>
    <xf numFmtId="37" fontId="12" fillId="0" borderId="0" xfId="63" applyNumberFormat="1" applyFont="1" applyFill="1" applyBorder="1" applyAlignment="1" applyProtection="1" quotePrefix="1">
      <alignment/>
      <protection/>
    </xf>
    <xf numFmtId="37" fontId="8" fillId="0" borderId="38" xfId="0" applyNumberFormat="1" applyFont="1" applyFill="1" applyBorder="1" applyAlignment="1" applyProtection="1">
      <alignment/>
      <protection locked="0"/>
    </xf>
    <xf numFmtId="37" fontId="12" fillId="0" borderId="43" xfId="63" applyNumberFormat="1" applyFont="1" applyFill="1" applyBorder="1" applyAlignment="1" applyProtection="1" quotePrefix="1">
      <alignment/>
      <protection locked="0"/>
    </xf>
    <xf numFmtId="37" fontId="8" fillId="0" borderId="43" xfId="0" applyNumberFormat="1" applyFont="1" applyFill="1" applyBorder="1" applyAlignment="1" applyProtection="1">
      <alignment/>
      <protection locked="0"/>
    </xf>
    <xf numFmtId="37" fontId="4" fillId="0" borderId="43" xfId="0" applyNumberFormat="1" applyFont="1" applyFill="1" applyBorder="1" applyAlignment="1" applyProtection="1">
      <alignment/>
      <protection locked="0"/>
    </xf>
    <xf numFmtId="0" fontId="9" fillId="0" borderId="25" xfId="0" applyFont="1" applyFill="1" applyBorder="1" applyAlignment="1" applyProtection="1">
      <alignment horizontal="center"/>
      <protection/>
    </xf>
    <xf numFmtId="0" fontId="9" fillId="0" borderId="39" xfId="0" applyFont="1" applyFill="1" applyBorder="1" applyAlignment="1" applyProtection="1">
      <alignment horizontal="center"/>
      <protection/>
    </xf>
    <xf numFmtId="37" fontId="4" fillId="0" borderId="25" xfId="42" applyNumberFormat="1" applyFont="1" applyFill="1" applyBorder="1" applyAlignment="1" applyProtection="1">
      <alignment horizontal="right"/>
      <protection/>
    </xf>
    <xf numFmtId="37" fontId="4" fillId="0" borderId="39" xfId="42" applyNumberFormat="1" applyFont="1" applyFill="1" applyBorder="1" applyAlignment="1" applyProtection="1">
      <alignment horizontal="right"/>
      <protection/>
    </xf>
    <xf numFmtId="37" fontId="4" fillId="0" borderId="25" xfId="42" applyNumberFormat="1" applyFont="1" applyFill="1" applyBorder="1" applyAlignment="1" applyProtection="1">
      <alignment horizontal="right"/>
      <protection locked="0"/>
    </xf>
    <xf numFmtId="37" fontId="4" fillId="0" borderId="39" xfId="42" applyNumberFormat="1" applyFont="1" applyFill="1" applyBorder="1" applyAlignment="1" applyProtection="1">
      <alignment horizontal="right"/>
      <protection locked="0"/>
    </xf>
    <xf numFmtId="0" fontId="2" fillId="0" borderId="43" xfId="0" applyFont="1" applyFill="1" applyBorder="1" applyAlignment="1" applyProtection="1">
      <alignment/>
      <protection/>
    </xf>
    <xf numFmtId="37" fontId="2"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4" fillId="0" borderId="79" xfId="42" applyNumberFormat="1" applyFont="1" applyFill="1" applyBorder="1" applyAlignment="1" applyProtection="1">
      <alignment horizontal="right"/>
      <protection/>
    </xf>
    <xf numFmtId="37" fontId="4" fillId="0" borderId="80" xfId="42" applyNumberFormat="1" applyFont="1" applyFill="1" applyBorder="1" applyAlignment="1" applyProtection="1">
      <alignment horizontal="right"/>
      <protection/>
    </xf>
    <xf numFmtId="49" fontId="36" fillId="0" borderId="0" xfId="55" applyNumberFormat="1" applyFont="1" applyFill="1" applyAlignment="1" applyProtection="1">
      <alignment horizontal="right"/>
      <protection/>
    </xf>
    <xf numFmtId="0" fontId="4" fillId="0" borderId="0" xfId="0" applyFont="1" applyFill="1" applyBorder="1" applyAlignment="1" applyProtection="1">
      <alignment wrapText="1"/>
      <protection/>
    </xf>
    <xf numFmtId="49" fontId="24" fillId="0" borderId="0" xfId="63" applyNumberFormat="1" applyFont="1" applyFill="1" applyAlignment="1" applyProtection="1">
      <alignment horizontal="right" vertical="top"/>
      <protection/>
    </xf>
    <xf numFmtId="0" fontId="4" fillId="0" borderId="0" xfId="0" applyFont="1" applyFill="1" applyAlignment="1" applyProtection="1" quotePrefix="1">
      <alignment vertical="top"/>
      <protection/>
    </xf>
    <xf numFmtId="0" fontId="20" fillId="0" borderId="0" xfId="65" applyNumberFormat="1" applyFill="1">
      <alignment/>
      <protection/>
    </xf>
    <xf numFmtId="37" fontId="8" fillId="0" borderId="38" xfId="42" applyNumberFormat="1" applyFont="1" applyFill="1" applyBorder="1" applyAlignment="1" applyProtection="1">
      <alignment/>
      <protection/>
    </xf>
    <xf numFmtId="37" fontId="8" fillId="0" borderId="81" xfId="42" applyNumberFormat="1" applyFont="1" applyFill="1" applyBorder="1" applyAlignment="1">
      <alignment/>
    </xf>
    <xf numFmtId="37" fontId="6" fillId="0" borderId="12" xfId="61" applyNumberFormat="1" applyFont="1" applyFill="1" applyBorder="1" applyAlignment="1" applyProtection="1">
      <alignment horizontal="right"/>
      <protection/>
    </xf>
    <xf numFmtId="37" fontId="6" fillId="0" borderId="13" xfId="61" applyNumberFormat="1" applyFont="1" applyFill="1" applyBorder="1" applyAlignment="1" applyProtection="1">
      <alignment horizontal="right"/>
      <protection/>
    </xf>
    <xf numFmtId="0" fontId="40" fillId="0" borderId="39" xfId="0" applyFont="1" applyBorder="1" applyAlignment="1">
      <alignment horizontal="center" wrapText="1"/>
    </xf>
    <xf numFmtId="0" fontId="40" fillId="0" borderId="39" xfId="0" applyFont="1" applyFill="1" applyBorder="1" applyAlignment="1">
      <alignment horizontal="center" wrapText="1"/>
    </xf>
    <xf numFmtId="0" fontId="39" fillId="0" borderId="39" xfId="0" applyFont="1" applyBorder="1" applyAlignment="1">
      <alignment vertical="top" wrapText="1"/>
    </xf>
    <xf numFmtId="0" fontId="39" fillId="0" borderId="39" xfId="0" applyFont="1" applyFill="1" applyBorder="1" applyAlignment="1">
      <alignment horizontal="center" vertical="top" wrapText="1"/>
    </xf>
    <xf numFmtId="0" fontId="39" fillId="0" borderId="39" xfId="0" applyFont="1" applyFill="1" applyBorder="1" applyAlignment="1">
      <alignment horizontal="justify" vertical="top" wrapText="1"/>
    </xf>
    <xf numFmtId="0" fontId="39" fillId="0" borderId="39" xfId="0" applyFont="1" applyBorder="1" applyAlignment="1">
      <alignment horizontal="center" vertical="center" wrapText="1"/>
    </xf>
    <xf numFmtId="0" fontId="39" fillId="40" borderId="39" xfId="0" applyFont="1" applyFill="1" applyBorder="1" applyAlignment="1">
      <alignment horizontal="center" vertical="center" wrapText="1"/>
    </xf>
    <xf numFmtId="0" fontId="39" fillId="0" borderId="39" xfId="0" applyFont="1" applyBorder="1" applyAlignment="1">
      <alignment horizontal="justify" vertical="top" wrapText="1"/>
    </xf>
    <xf numFmtId="0" fontId="39" fillId="0" borderId="39" xfId="0" applyFont="1" applyBorder="1" applyAlignment="1">
      <alignment horizontal="center" vertical="top" wrapText="1"/>
    </xf>
    <xf numFmtId="0" fontId="41" fillId="0" borderId="39" xfId="55" applyFont="1" applyFill="1" applyBorder="1" applyAlignment="1" applyProtection="1">
      <alignment horizontal="justify" vertical="top" wrapText="1"/>
      <protection/>
    </xf>
    <xf numFmtId="0" fontId="39" fillId="0" borderId="39" xfId="0" applyFont="1" applyFill="1" applyBorder="1" applyAlignment="1">
      <alignment horizontal="justify" vertical="top"/>
    </xf>
    <xf numFmtId="0" fontId="41" fillId="0" borderId="39" xfId="55" applyFont="1" applyBorder="1" applyAlignment="1" applyProtection="1">
      <alignment horizontal="justify" vertical="top" wrapText="1"/>
      <protection/>
    </xf>
    <xf numFmtId="0" fontId="39" fillId="0" borderId="39" xfId="55" applyFont="1" applyFill="1" applyBorder="1" applyAlignment="1" applyProtection="1">
      <alignment horizontal="justify" vertical="top" wrapText="1"/>
      <protection/>
    </xf>
    <xf numFmtId="0" fontId="39" fillId="0" borderId="39" xfId="0" applyFont="1" applyBorder="1" applyAlignment="1">
      <alignment horizontal="justify" vertical="top"/>
    </xf>
    <xf numFmtId="0" fontId="39" fillId="41" borderId="39" xfId="0" applyFont="1" applyFill="1" applyBorder="1" applyAlignment="1">
      <alignment horizontal="center" vertical="center" wrapText="1"/>
    </xf>
    <xf numFmtId="0" fontId="102" fillId="0" borderId="39" xfId="0" applyFont="1" applyFill="1" applyBorder="1" applyAlignment="1">
      <alignment horizontal="justify" vertical="top" wrapText="1"/>
    </xf>
    <xf numFmtId="0" fontId="43" fillId="0" borderId="39" xfId="0" applyFont="1" applyFill="1" applyBorder="1" applyAlignment="1">
      <alignment horizontal="justify" vertical="top" wrapText="1"/>
    </xf>
    <xf numFmtId="0" fontId="39" fillId="0" borderId="39" xfId="0" applyFont="1" applyFill="1" applyBorder="1" applyAlignment="1">
      <alignment vertical="top" wrapText="1"/>
    </xf>
    <xf numFmtId="166" fontId="14" fillId="0" borderId="17" xfId="65" applyNumberFormat="1" applyFont="1" applyFill="1" applyBorder="1" applyAlignment="1" applyProtection="1">
      <alignment horizontal="right"/>
      <protection/>
    </xf>
    <xf numFmtId="0" fontId="13" fillId="0" borderId="29" xfId="64" applyNumberFormat="1" applyFont="1" applyFill="1" applyBorder="1" applyAlignment="1" applyProtection="1">
      <alignment horizontal="center"/>
      <protection/>
    </xf>
    <xf numFmtId="37" fontId="8" fillId="0" borderId="0" xfId="0" applyNumberFormat="1" applyFont="1" applyFill="1" applyBorder="1" applyAlignment="1" applyProtection="1">
      <alignment/>
      <protection/>
    </xf>
    <xf numFmtId="0" fontId="8" fillId="0" borderId="0" xfId="0" applyFont="1" applyFill="1" applyBorder="1" applyAlignment="1" applyProtection="1">
      <alignment horizontal="centerContinuous" wrapText="1"/>
      <protection/>
    </xf>
    <xf numFmtId="168" fontId="8" fillId="0" borderId="0" xfId="0" applyNumberFormat="1" applyFont="1" applyFill="1" applyBorder="1" applyAlignment="1" applyProtection="1">
      <alignment/>
      <protection/>
    </xf>
    <xf numFmtId="168" fontId="8" fillId="0" borderId="0" xfId="0" applyNumberFormat="1" applyFont="1" applyFill="1" applyBorder="1" applyAlignment="1" applyProtection="1">
      <alignment horizontal="centerContinuous" wrapText="1"/>
      <protection/>
    </xf>
    <xf numFmtId="0" fontId="6" fillId="0" borderId="64" xfId="0" applyFont="1" applyFill="1" applyBorder="1" applyAlignment="1" applyProtection="1">
      <alignment horizontal="center"/>
      <protection/>
    </xf>
    <xf numFmtId="0" fontId="6" fillId="0" borderId="39" xfId="0" applyFont="1" applyFill="1" applyBorder="1" applyAlignment="1" applyProtection="1">
      <alignment horizontal="center"/>
      <protection/>
    </xf>
    <xf numFmtId="0" fontId="6" fillId="0" borderId="30" xfId="0" applyFont="1" applyFill="1" applyBorder="1" applyAlignment="1" applyProtection="1">
      <alignment/>
      <protection/>
    </xf>
    <xf numFmtId="0" fontId="6" fillId="0" borderId="73" xfId="0" applyFont="1" applyFill="1" applyBorder="1" applyAlignment="1" applyProtection="1">
      <alignment/>
      <protection/>
    </xf>
    <xf numFmtId="0" fontId="6" fillId="0" borderId="0" xfId="61" applyFont="1" applyBorder="1" applyProtection="1" quotePrefix="1">
      <alignment/>
      <protection/>
    </xf>
    <xf numFmtId="37" fontId="6" fillId="0" borderId="33" xfId="61" applyNumberFormat="1" applyFont="1" applyBorder="1" applyAlignment="1" applyProtection="1">
      <alignment horizontal="right"/>
      <protection/>
    </xf>
    <xf numFmtId="0" fontId="6" fillId="0" borderId="38" xfId="61" applyFont="1" applyBorder="1" applyProtection="1">
      <alignment/>
      <protection/>
    </xf>
    <xf numFmtId="37" fontId="6" fillId="0" borderId="48" xfId="0" applyNumberFormat="1" applyFont="1" applyFill="1" applyBorder="1" applyAlignment="1" applyProtection="1">
      <alignment horizontal="right"/>
      <protection locked="0"/>
    </xf>
    <xf numFmtId="37" fontId="6" fillId="0" borderId="51" xfId="0" applyNumberFormat="1" applyFont="1" applyFill="1" applyBorder="1" applyAlignment="1" applyProtection="1">
      <alignment/>
      <protection locked="0"/>
    </xf>
    <xf numFmtId="37" fontId="6" fillId="0" borderId="57" xfId="0" applyNumberFormat="1" applyFont="1" applyFill="1" applyBorder="1" applyAlignment="1" applyProtection="1">
      <alignment horizontal="right"/>
      <protection locked="0"/>
    </xf>
    <xf numFmtId="0" fontId="8" fillId="0" borderId="14" xfId="0" applyFont="1" applyFill="1" applyBorder="1" applyAlignment="1" applyProtection="1">
      <alignment horizontal="left"/>
      <protection/>
    </xf>
    <xf numFmtId="0" fontId="8" fillId="0" borderId="0" xfId="0" applyFont="1" applyFill="1" applyBorder="1" applyAlignment="1" applyProtection="1">
      <alignment horizontal="left" wrapText="1"/>
      <protection/>
    </xf>
    <xf numFmtId="0" fontId="8" fillId="0" borderId="0" xfId="66" applyNumberFormat="1" applyFont="1" applyFill="1" applyAlignment="1" applyProtection="1">
      <alignment horizontal="left" vertical="top" wrapText="1"/>
      <protection/>
    </xf>
    <xf numFmtId="0" fontId="8" fillId="0" borderId="0" xfId="66" applyNumberFormat="1" applyFont="1" applyFill="1" applyBorder="1" applyAlignment="1" applyProtection="1">
      <alignment horizontal="left" vertical="top"/>
      <protection/>
    </xf>
    <xf numFmtId="0" fontId="8" fillId="0" borderId="0" xfId="66" applyNumberFormat="1" applyFont="1" applyFill="1" applyBorder="1" applyAlignment="1" applyProtection="1">
      <alignment horizontal="left" vertical="top" wrapText="1"/>
      <protection/>
    </xf>
    <xf numFmtId="0" fontId="8" fillId="0" borderId="0" xfId="66" applyNumberFormat="1" applyFont="1" applyFill="1" applyAlignment="1" applyProtection="1">
      <alignment horizontal="left" vertical="top"/>
      <protection/>
    </xf>
    <xf numFmtId="0" fontId="8" fillId="0" borderId="0" xfId="66" applyNumberFormat="1" applyFont="1" applyFill="1" applyAlignment="1" applyProtection="1" quotePrefix="1">
      <alignment horizontal="left" vertical="top" wrapText="1"/>
      <protection/>
    </xf>
    <xf numFmtId="49" fontId="4" fillId="0" borderId="0" xfId="55" applyNumberFormat="1" applyFont="1" applyFill="1" applyAlignment="1" applyProtection="1" quotePrefix="1">
      <alignment horizontal="right"/>
      <protection/>
    </xf>
    <xf numFmtId="0" fontId="4" fillId="0" borderId="0" xfId="63" applyNumberFormat="1" applyFont="1" applyFill="1" applyAlignment="1" applyProtection="1">
      <alignment horizontal="left"/>
      <protection/>
    </xf>
    <xf numFmtId="0" fontId="4" fillId="0" borderId="0" xfId="66" applyNumberFormat="1" applyFont="1" applyFill="1" applyAlignment="1" applyProtection="1" quotePrefix="1">
      <alignment horizontal="right"/>
      <protection/>
    </xf>
    <xf numFmtId="37" fontId="22" fillId="33" borderId="0" xfId="63" applyNumberFormat="1" applyFont="1" applyFill="1" applyBorder="1" applyAlignment="1" applyProtection="1">
      <alignment horizontal="right"/>
      <protection/>
    </xf>
    <xf numFmtId="1" fontId="12" fillId="33" borderId="0" xfId="63" applyNumberFormat="1" applyFont="1" applyFill="1" applyBorder="1" applyAlignment="1" applyProtection="1">
      <alignment horizontal="left"/>
      <protection/>
    </xf>
    <xf numFmtId="49" fontId="8" fillId="33" borderId="0" xfId="63" applyNumberFormat="1" applyFont="1" applyBorder="1" applyAlignment="1" applyProtection="1" quotePrefix="1">
      <alignment horizontal="left"/>
      <protection/>
    </xf>
    <xf numFmtId="37" fontId="36" fillId="0" borderId="0" xfId="55" applyNumberFormat="1" applyFont="1" applyFill="1" applyAlignment="1" applyProtection="1">
      <alignment horizontal="left" vertical="top"/>
      <protection/>
    </xf>
    <xf numFmtId="37" fontId="6" fillId="42" borderId="28" xfId="61" applyNumberFormat="1" applyFont="1" applyFill="1" applyBorder="1" applyAlignment="1" applyProtection="1">
      <alignment horizontal="right"/>
      <protection/>
    </xf>
    <xf numFmtId="0" fontId="36" fillId="0" borderId="0" xfId="0" applyFont="1" applyAlignment="1" applyProtection="1" quotePrefix="1">
      <alignment/>
      <protection/>
    </xf>
    <xf numFmtId="168" fontId="8" fillId="0" borderId="0" xfId="0" applyNumberFormat="1" applyFont="1" applyBorder="1" applyAlignment="1" applyProtection="1">
      <alignment/>
      <protection/>
    </xf>
    <xf numFmtId="165" fontId="8" fillId="0" borderId="0" xfId="0" applyNumberFormat="1" applyFont="1" applyBorder="1" applyAlignment="1" applyProtection="1">
      <alignment/>
      <protection/>
    </xf>
    <xf numFmtId="0" fontId="103" fillId="0" borderId="0" xfId="0" applyFont="1" applyAlignment="1">
      <alignment/>
    </xf>
    <xf numFmtId="0" fontId="104" fillId="0" borderId="15" xfId="0" applyFont="1" applyBorder="1" applyAlignment="1" quotePrefix="1">
      <alignment horizontal="right"/>
    </xf>
    <xf numFmtId="0" fontId="104" fillId="0" borderId="15" xfId="0" applyFont="1" applyBorder="1" applyAlignment="1">
      <alignment horizontal="right"/>
    </xf>
    <xf numFmtId="0" fontId="8" fillId="0" borderId="19"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49" fontId="38" fillId="0" borderId="0" xfId="55" applyNumberFormat="1" applyFont="1" applyFill="1" applyBorder="1" applyAlignment="1" applyProtection="1">
      <alignment horizontal="right"/>
      <protection/>
    </xf>
    <xf numFmtId="37" fontId="6" fillId="0" borderId="0" xfId="42" applyNumberFormat="1" applyFont="1" applyBorder="1" applyAlignment="1" applyProtection="1">
      <alignment/>
      <protection/>
    </xf>
    <xf numFmtId="37" fontId="12" fillId="33" borderId="24" xfId="63" applyNumberFormat="1" applyFont="1" applyFill="1" applyBorder="1" applyProtection="1">
      <alignment/>
      <protection/>
    </xf>
    <xf numFmtId="0" fontId="105" fillId="0" borderId="0" xfId="0" applyFont="1" applyBorder="1" applyAlignment="1" quotePrefix="1">
      <alignment horizontal="right"/>
    </xf>
    <xf numFmtId="0" fontId="106" fillId="33" borderId="0" xfId="64" applyNumberFormat="1" applyFont="1" applyBorder="1" applyAlignment="1" applyProtection="1">
      <alignment vertical="center" wrapText="1"/>
      <protection/>
    </xf>
    <xf numFmtId="170" fontId="14" fillId="0" borderId="49" xfId="64" applyNumberFormat="1" applyFont="1" applyFill="1" applyBorder="1" applyAlignment="1" applyProtection="1">
      <alignment/>
      <protection/>
    </xf>
    <xf numFmtId="166" fontId="14" fillId="0" borderId="12" xfId="65" applyNumberFormat="1" applyFont="1" applyFill="1" applyBorder="1" applyAlignment="1" applyProtection="1">
      <alignment/>
      <protection/>
    </xf>
    <xf numFmtId="37" fontId="14" fillId="33" borderId="13" xfId="65" applyNumberFormat="1" applyFont="1" applyFill="1" applyBorder="1" applyAlignment="1" applyProtection="1">
      <alignment/>
      <protection/>
    </xf>
    <xf numFmtId="0" fontId="6" fillId="33" borderId="14" xfId="64" applyNumberFormat="1" applyFont="1" applyBorder="1" applyProtection="1">
      <alignment/>
      <protection/>
    </xf>
    <xf numFmtId="0" fontId="6" fillId="33" borderId="14" xfId="64" applyNumberFormat="1" applyFont="1" applyBorder="1" applyAlignment="1" applyProtection="1">
      <alignment horizontal="centerContinuous"/>
      <protection/>
    </xf>
    <xf numFmtId="0" fontId="13" fillId="0" borderId="29" xfId="64" applyNumberFormat="1" applyFont="1" applyFill="1" applyBorder="1" applyAlignment="1" applyProtection="1">
      <alignment horizontal="centerContinuous"/>
      <protection/>
    </xf>
    <xf numFmtId="0" fontId="20" fillId="33" borderId="12" xfId="64" applyNumberFormat="1" applyBorder="1" applyProtection="1">
      <alignment/>
      <protection/>
    </xf>
    <xf numFmtId="0" fontId="6" fillId="33" borderId="13" xfId="64" applyNumberFormat="1" applyFont="1" applyBorder="1" applyProtection="1">
      <alignment/>
      <protection/>
    </xf>
    <xf numFmtId="0" fontId="6" fillId="33" borderId="0" xfId="64" applyNumberFormat="1" applyFont="1" applyBorder="1" applyAlignment="1" applyProtection="1">
      <alignment horizontal="centerContinuous"/>
      <protection/>
    </xf>
    <xf numFmtId="37" fontId="14" fillId="33" borderId="0" xfId="64" applyNumberFormat="1" applyFont="1" applyFill="1" applyAlignment="1" applyProtection="1">
      <alignment vertical="justify" wrapText="1"/>
      <protection/>
    </xf>
    <xf numFmtId="0" fontId="0" fillId="0" borderId="31" xfId="0" applyBorder="1" applyAlignment="1">
      <alignment vertical="justify" wrapText="1"/>
    </xf>
    <xf numFmtId="37" fontId="13" fillId="33" borderId="31" xfId="64" applyNumberFormat="1" applyFont="1" applyFill="1" applyBorder="1" applyAlignment="1" applyProtection="1">
      <alignment horizontal="center"/>
      <protection/>
    </xf>
    <xf numFmtId="37" fontId="13" fillId="33" borderId="27" xfId="64" applyNumberFormat="1" applyFont="1" applyFill="1" applyBorder="1" applyAlignment="1" applyProtection="1">
      <alignment horizontal="center" vertical="top"/>
      <protection/>
    </xf>
    <xf numFmtId="0" fontId="6" fillId="33" borderId="24" xfId="64" applyNumberFormat="1" applyFont="1" applyBorder="1" applyAlignment="1" applyProtection="1">
      <alignment vertical="top" wrapText="1"/>
      <protection/>
    </xf>
    <xf numFmtId="0" fontId="6" fillId="33" borderId="10" xfId="64" applyNumberFormat="1" applyFont="1" applyBorder="1" applyAlignment="1" applyProtection="1">
      <alignment vertical="top" wrapText="1"/>
      <protection/>
    </xf>
    <xf numFmtId="49" fontId="4" fillId="0" borderId="0" xfId="63" applyNumberFormat="1" applyFont="1" applyFill="1" applyAlignment="1" applyProtection="1" quotePrefix="1">
      <alignment horizontal="left"/>
      <protection/>
    </xf>
    <xf numFmtId="0" fontId="104" fillId="0" borderId="0" xfId="0" applyFont="1" applyAlignment="1">
      <alignment horizontal="right"/>
    </xf>
    <xf numFmtId="37" fontId="8" fillId="33" borderId="38" xfId="63" applyNumberFormat="1" applyFont="1" applyBorder="1" applyProtection="1">
      <alignment/>
      <protection locked="0"/>
    </xf>
    <xf numFmtId="49" fontId="6" fillId="0" borderId="19" xfId="0" applyNumberFormat="1" applyFont="1" applyBorder="1" applyAlignment="1" applyProtection="1">
      <alignment horizontal="left"/>
      <protection/>
    </xf>
    <xf numFmtId="49" fontId="6" fillId="0" borderId="19" xfId="0" applyNumberFormat="1" applyFont="1" applyFill="1" applyBorder="1" applyAlignment="1" applyProtection="1">
      <alignment horizontal="left"/>
      <protection/>
    </xf>
    <xf numFmtId="0" fontId="6" fillId="0" borderId="0" xfId="0" applyFont="1" applyBorder="1" applyAlignment="1" applyProtection="1">
      <alignment horizontal="left"/>
      <protection/>
    </xf>
    <xf numFmtId="0" fontId="3" fillId="0" borderId="0" xfId="0" applyFont="1" applyBorder="1" applyAlignment="1" applyProtection="1">
      <alignment wrapText="1"/>
      <protection/>
    </xf>
    <xf numFmtId="0" fontId="0" fillId="0" borderId="0" xfId="0" applyBorder="1" applyAlignment="1">
      <alignment wrapText="1"/>
    </xf>
    <xf numFmtId="0" fontId="9" fillId="0" borderId="19" xfId="0" applyFont="1" applyFill="1" applyBorder="1" applyAlignment="1" applyProtection="1">
      <alignment horizontal="center"/>
      <protection/>
    </xf>
    <xf numFmtId="37" fontId="4" fillId="0" borderId="19" xfId="42" applyNumberFormat="1" applyFont="1" applyFill="1" applyBorder="1" applyAlignment="1" applyProtection="1">
      <alignment horizontal="right"/>
      <protection/>
    </xf>
    <xf numFmtId="37" fontId="4" fillId="0" borderId="19" xfId="0" applyNumberFormat="1" applyFont="1" applyFill="1" applyBorder="1" applyAlignment="1" applyProtection="1">
      <alignment/>
      <protection/>
    </xf>
    <xf numFmtId="38" fontId="4" fillId="0" borderId="82" xfId="0" applyNumberFormat="1" applyFont="1" applyFill="1" applyBorder="1" applyAlignment="1" applyProtection="1">
      <alignment vertical="top"/>
      <protection locked="0"/>
    </xf>
    <xf numFmtId="38" fontId="24" fillId="0" borderId="28" xfId="0" applyNumberFormat="1" applyFont="1" applyFill="1" applyBorder="1" applyAlignment="1" applyProtection="1">
      <alignment/>
      <protection locked="0"/>
    </xf>
    <xf numFmtId="38" fontId="24" fillId="0" borderId="13" xfId="0" applyNumberFormat="1" applyFont="1" applyFill="1" applyBorder="1" applyAlignment="1" applyProtection="1">
      <alignment vertical="top"/>
      <protection/>
    </xf>
    <xf numFmtId="38" fontId="24" fillId="0" borderId="13" xfId="0" applyNumberFormat="1" applyFont="1" applyFill="1" applyBorder="1" applyAlignment="1" applyProtection="1">
      <alignment/>
      <protection locked="0"/>
    </xf>
    <xf numFmtId="37" fontId="4" fillId="0" borderId="10" xfId="0" applyNumberFormat="1" applyFont="1" applyFill="1" applyBorder="1" applyAlignment="1" applyProtection="1">
      <alignment horizontal="left"/>
      <protection/>
    </xf>
    <xf numFmtId="164" fontId="4" fillId="0" borderId="10" xfId="0" applyNumberFormat="1" applyFont="1" applyFill="1" applyBorder="1" applyAlignment="1" applyProtection="1">
      <alignment horizontal="left"/>
      <protection/>
    </xf>
    <xf numFmtId="0" fontId="4" fillId="0" borderId="28" xfId="0" applyFont="1" applyFill="1" applyBorder="1" applyAlignment="1" applyProtection="1">
      <alignment horizontal="center"/>
      <protection/>
    </xf>
    <xf numFmtId="40" fontId="4" fillId="0" borderId="28" xfId="0" applyNumberFormat="1" applyFont="1" applyFill="1" applyBorder="1" applyAlignment="1" applyProtection="1">
      <alignment/>
      <protection/>
    </xf>
    <xf numFmtId="40" fontId="4" fillId="0" borderId="23" xfId="0" applyNumberFormat="1" applyFont="1" applyFill="1" applyBorder="1" applyAlignment="1" applyProtection="1">
      <alignment/>
      <protection locked="0"/>
    </xf>
    <xf numFmtId="37" fontId="6" fillId="0" borderId="64" xfId="61" applyNumberFormat="1" applyFont="1" applyFill="1" applyBorder="1" applyProtection="1">
      <alignment/>
      <protection/>
    </xf>
    <xf numFmtId="37" fontId="12" fillId="0" borderId="0" xfId="63" applyNumberFormat="1" applyFont="1" applyFill="1" applyAlignment="1" applyProtection="1">
      <alignment horizontal="right"/>
      <protection/>
    </xf>
    <xf numFmtId="0" fontId="47" fillId="39" borderId="32" xfId="55" applyNumberFormat="1" applyFont="1" applyFill="1" applyBorder="1" applyAlignment="1" applyProtection="1">
      <alignment/>
      <protection/>
    </xf>
    <xf numFmtId="37" fontId="14" fillId="0" borderId="83" xfId="65" applyNumberFormat="1" applyFont="1" applyFill="1" applyBorder="1" applyProtection="1">
      <alignment/>
      <protection/>
    </xf>
    <xf numFmtId="37" fontId="14" fillId="0" borderId="36" xfId="65" applyNumberFormat="1" applyFont="1" applyFill="1" applyBorder="1" applyProtection="1">
      <alignment/>
      <protection/>
    </xf>
    <xf numFmtId="0" fontId="102" fillId="0" borderId="39" xfId="0" applyFont="1" applyFill="1" applyBorder="1" applyAlignment="1" quotePrefix="1">
      <alignment horizontal="justify" vertical="top" wrapText="1"/>
    </xf>
    <xf numFmtId="0" fontId="107" fillId="0" borderId="31" xfId="65" applyNumberFormat="1" applyFont="1" applyFill="1" applyBorder="1" applyAlignment="1" applyProtection="1">
      <alignment horizontal="center" vertical="center" wrapText="1"/>
      <protection/>
    </xf>
    <xf numFmtId="0" fontId="6" fillId="0" borderId="50" xfId="61" applyFont="1" applyFill="1" applyBorder="1" applyProtection="1" quotePrefix="1">
      <alignment/>
      <protection/>
    </xf>
    <xf numFmtId="175" fontId="6" fillId="0" borderId="69" xfId="61" applyNumberFormat="1" applyFont="1" applyFill="1" applyBorder="1" applyAlignment="1" applyProtection="1">
      <alignment/>
      <protection/>
    </xf>
    <xf numFmtId="39" fontId="4" fillId="0" borderId="25" xfId="42" applyNumberFormat="1" applyFont="1" applyFill="1" applyBorder="1" applyAlignment="1" applyProtection="1">
      <alignment horizontal="right"/>
      <protection/>
    </xf>
    <xf numFmtId="39" fontId="4" fillId="0" borderId="39" xfId="42" applyNumberFormat="1" applyFont="1" applyFill="1" applyBorder="1" applyAlignment="1" applyProtection="1">
      <alignment horizontal="right"/>
      <protection/>
    </xf>
    <xf numFmtId="0" fontId="8" fillId="0" borderId="15" xfId="0" applyFont="1" applyBorder="1" applyAlignment="1" applyProtection="1">
      <alignment wrapText="1"/>
      <protection/>
    </xf>
    <xf numFmtId="0" fontId="8" fillId="34" borderId="14" xfId="0" applyFont="1" applyFill="1" applyBorder="1" applyAlignment="1" applyProtection="1">
      <alignment/>
      <protection/>
    </xf>
    <xf numFmtId="38" fontId="4" fillId="0" borderId="82" xfId="0" applyNumberFormat="1" applyFont="1" applyFill="1" applyBorder="1" applyAlignment="1" applyProtection="1">
      <alignment vertical="top"/>
      <protection/>
    </xf>
    <xf numFmtId="1" fontId="4" fillId="0" borderId="0" xfId="0" applyNumberFormat="1" applyFont="1" applyFill="1" applyAlignment="1" applyProtection="1">
      <alignment horizontal="right"/>
      <protection locked="0"/>
    </xf>
    <xf numFmtId="0" fontId="6" fillId="0" borderId="0" xfId="0" applyFont="1" applyFill="1" applyBorder="1" applyAlignment="1" applyProtection="1" quotePrefix="1">
      <alignment/>
      <protection/>
    </xf>
    <xf numFmtId="38" fontId="24" fillId="0" borderId="84" xfId="0" applyNumberFormat="1" applyFont="1" applyFill="1" applyBorder="1" applyAlignment="1" applyProtection="1">
      <alignment/>
      <protection locked="0"/>
    </xf>
    <xf numFmtId="38" fontId="24" fillId="43" borderId="84" xfId="0" applyNumberFormat="1" applyFont="1" applyFill="1" applyBorder="1" applyAlignment="1" applyProtection="1">
      <alignment vertical="top"/>
      <protection/>
    </xf>
    <xf numFmtId="0" fontId="4" fillId="34" borderId="0" xfId="0" applyFont="1" applyFill="1" applyAlignment="1" applyProtection="1">
      <alignment/>
      <protection/>
    </xf>
    <xf numFmtId="0" fontId="3" fillId="0" borderId="0" xfId="0" applyFont="1" applyAlignment="1" quotePrefix="1">
      <alignment horizontal="right"/>
    </xf>
    <xf numFmtId="0" fontId="108" fillId="0" borderId="0" xfId="55" applyFont="1" applyFill="1" applyAlignment="1" applyProtection="1">
      <alignment horizontal="left"/>
      <protection/>
    </xf>
    <xf numFmtId="0" fontId="41" fillId="0" borderId="39" xfId="55" applyFont="1" applyFill="1" applyBorder="1" applyAlignment="1" applyProtection="1">
      <alignment vertical="top" wrapText="1"/>
      <protection/>
    </xf>
    <xf numFmtId="0" fontId="4" fillId="34" borderId="0" xfId="0" applyFont="1" applyFill="1" applyAlignment="1">
      <alignment/>
    </xf>
    <xf numFmtId="0" fontId="4" fillId="34" borderId="0" xfId="0" applyFont="1" applyFill="1" applyAlignment="1">
      <alignment/>
    </xf>
    <xf numFmtId="0" fontId="3" fillId="34" borderId="0" xfId="0" applyFont="1" applyFill="1" applyAlignment="1">
      <alignment/>
    </xf>
    <xf numFmtId="2" fontId="24" fillId="34" borderId="10" xfId="0" applyNumberFormat="1" applyFont="1" applyFill="1" applyBorder="1" applyAlignment="1" applyProtection="1">
      <alignment horizontal="right"/>
      <protection locked="0"/>
    </xf>
    <xf numFmtId="37" fontId="24" fillId="34" borderId="0" xfId="0" applyNumberFormat="1" applyFont="1" applyFill="1" applyAlignment="1" applyProtection="1">
      <alignment horizontal="left"/>
      <protection/>
    </xf>
    <xf numFmtId="37" fontId="30" fillId="34" borderId="0" xfId="0" applyNumberFormat="1" applyFont="1" applyFill="1" applyAlignment="1" applyProtection="1">
      <alignment horizontal="center"/>
      <protection/>
    </xf>
    <xf numFmtId="37" fontId="24" fillId="34" borderId="0" xfId="0" applyNumberFormat="1" applyFont="1" applyFill="1" applyAlignment="1" applyProtection="1">
      <alignment horizontal="right"/>
      <protection/>
    </xf>
    <xf numFmtId="168" fontId="24" fillId="34" borderId="10" xfId="0" applyNumberFormat="1" applyFont="1" applyFill="1" applyBorder="1" applyAlignment="1" applyProtection="1">
      <alignment horizontal="right"/>
      <protection locked="0"/>
    </xf>
    <xf numFmtId="0" fontId="4" fillId="34" borderId="0" xfId="0" applyFont="1" applyFill="1" applyAlignment="1">
      <alignment horizontal="right"/>
    </xf>
    <xf numFmtId="168" fontId="24" fillId="34" borderId="10" xfId="0" applyNumberFormat="1" applyFont="1" applyFill="1" applyBorder="1" applyAlignment="1" applyProtection="1">
      <alignment horizontal="right"/>
      <protection/>
    </xf>
    <xf numFmtId="0" fontId="4" fillId="34" borderId="0" xfId="0" applyFont="1" applyFill="1" applyBorder="1" applyAlignment="1" applyProtection="1">
      <alignment/>
      <protection/>
    </xf>
    <xf numFmtId="37" fontId="6" fillId="0" borderId="73" xfId="0" applyNumberFormat="1" applyFont="1" applyFill="1" applyBorder="1" applyAlignment="1" applyProtection="1">
      <alignment/>
      <protection locked="0"/>
    </xf>
    <xf numFmtId="3" fontId="10" fillId="0" borderId="0" xfId="0" applyNumberFormat="1" applyFont="1" applyFill="1" applyBorder="1" applyAlignment="1" applyProtection="1">
      <alignment horizontal="left"/>
      <protection/>
    </xf>
    <xf numFmtId="0" fontId="20" fillId="0" borderId="0" xfId="64" applyNumberFormat="1" applyFill="1" applyProtection="1">
      <alignment/>
      <protection/>
    </xf>
    <xf numFmtId="37" fontId="13" fillId="0" borderId="0" xfId="64" applyNumberFormat="1" applyFont="1" applyFill="1" applyAlignment="1" applyProtection="1">
      <alignment horizontal="center" vertical="center"/>
      <protection/>
    </xf>
    <xf numFmtId="37" fontId="13" fillId="0" borderId="15" xfId="64" applyNumberFormat="1" applyFont="1" applyFill="1" applyBorder="1" applyAlignment="1" applyProtection="1">
      <alignment horizontal="center" vertical="center"/>
      <protection/>
    </xf>
    <xf numFmtId="0" fontId="15" fillId="0" borderId="0" xfId="64" applyNumberFormat="1" applyFont="1" applyFill="1" applyAlignment="1" applyProtection="1">
      <alignment horizontal="center" vertical="top"/>
      <protection/>
    </xf>
    <xf numFmtId="0" fontId="15" fillId="0" borderId="0" xfId="64" applyNumberFormat="1" applyFont="1" applyFill="1" applyBorder="1" applyAlignment="1" applyProtection="1">
      <alignment horizontal="center" vertical="top"/>
      <protection/>
    </xf>
    <xf numFmtId="0" fontId="15" fillId="0" borderId="31" xfId="64" applyNumberFormat="1" applyFont="1" applyFill="1" applyBorder="1" applyAlignment="1" applyProtection="1">
      <alignment horizontal="center" vertical="top"/>
      <protection/>
    </xf>
    <xf numFmtId="37" fontId="12" fillId="44" borderId="17" xfId="0" applyNumberFormat="1" applyFont="1" applyFill="1" applyBorder="1" applyAlignment="1" applyProtection="1">
      <alignment/>
      <protection/>
    </xf>
    <xf numFmtId="0" fontId="12" fillId="34" borderId="0" xfId="0" applyFont="1" applyFill="1" applyAlignment="1" applyProtection="1">
      <alignment horizontal="left"/>
      <protection/>
    </xf>
    <xf numFmtId="0" fontId="12" fillId="34" borderId="0" xfId="0" applyFont="1" applyFill="1" applyAlignment="1" applyProtection="1">
      <alignment/>
      <protection/>
    </xf>
    <xf numFmtId="0" fontId="8" fillId="0" borderId="0" xfId="0" applyFont="1" applyFill="1" applyBorder="1" applyAlignment="1" applyProtection="1">
      <alignment vertical="center"/>
      <protection/>
    </xf>
    <xf numFmtId="0" fontId="39" fillId="0" borderId="39" xfId="0" applyFont="1" applyFill="1" applyBorder="1" applyAlignment="1" applyProtection="1">
      <alignment horizontal="justify" vertical="top" wrapText="1"/>
      <protection/>
    </xf>
    <xf numFmtId="1" fontId="36" fillId="39" borderId="0" xfId="55" applyNumberFormat="1" applyFont="1" applyFill="1" applyAlignment="1" applyProtection="1">
      <alignment horizontal="right" vertical="top"/>
      <protection/>
    </xf>
    <xf numFmtId="0" fontId="37" fillId="39" borderId="0" xfId="55" applyFont="1" applyFill="1" applyAlignment="1" applyProtection="1">
      <alignment horizontal="left"/>
      <protection/>
    </xf>
    <xf numFmtId="0" fontId="36" fillId="39" borderId="17" xfId="55" applyFont="1" applyFill="1" applyBorder="1" applyAlignment="1" applyProtection="1" quotePrefix="1">
      <alignment horizontal="right" vertical="center"/>
      <protection/>
    </xf>
    <xf numFmtId="49" fontId="8" fillId="0" borderId="12" xfId="0" applyNumberFormat="1" applyFont="1" applyBorder="1" applyAlignment="1" applyProtection="1">
      <alignment horizontal="right"/>
      <protection/>
    </xf>
    <xf numFmtId="37" fontId="14" fillId="0" borderId="14" xfId="65" applyNumberFormat="1" applyFont="1" applyFill="1" applyBorder="1" applyAlignment="1" applyProtection="1">
      <alignment horizontal="left"/>
      <protection/>
    </xf>
    <xf numFmtId="176" fontId="8" fillId="0" borderId="38" xfId="44" applyNumberFormat="1" applyFont="1" applyFill="1" applyBorder="1" applyAlignment="1" applyProtection="1">
      <alignment horizontal="left"/>
      <protection locked="0"/>
    </xf>
    <xf numFmtId="0" fontId="27" fillId="39" borderId="0" xfId="55" applyFill="1" applyAlignment="1" applyProtection="1">
      <alignment horizontal="left"/>
      <protection/>
    </xf>
    <xf numFmtId="0" fontId="43" fillId="0" borderId="39" xfId="55" applyFont="1" applyFill="1" applyBorder="1" applyAlignment="1" applyProtection="1">
      <alignment horizontal="justify" vertical="top" wrapText="1"/>
      <protection/>
    </xf>
    <xf numFmtId="37" fontId="14" fillId="0" borderId="85" xfId="65" applyNumberFormat="1" applyFont="1" applyFill="1" applyBorder="1" applyProtection="1">
      <alignment/>
      <protection/>
    </xf>
    <xf numFmtId="37" fontId="14" fillId="34" borderId="14" xfId="65" applyNumberFormat="1" applyFont="1" applyFill="1" applyBorder="1" applyProtection="1">
      <alignment/>
      <protection/>
    </xf>
    <xf numFmtId="37" fontId="14" fillId="34" borderId="0" xfId="65" applyNumberFormat="1" applyFont="1" applyFill="1" applyProtection="1">
      <alignment/>
      <protection/>
    </xf>
    <xf numFmtId="37" fontId="14" fillId="43" borderId="85" xfId="65" applyNumberFormat="1" applyFont="1" applyFill="1" applyBorder="1" applyProtection="1">
      <alignment/>
      <protection/>
    </xf>
    <xf numFmtId="37" fontId="8" fillId="0" borderId="77" xfId="0" applyNumberFormat="1" applyFont="1" applyBorder="1" applyAlignment="1">
      <alignment vertical="center"/>
    </xf>
    <xf numFmtId="0" fontId="39" fillId="0" borderId="39" xfId="0" applyFont="1" applyFill="1" applyBorder="1" applyAlignment="1">
      <alignment horizontal="center" vertical="center" wrapText="1"/>
    </xf>
    <xf numFmtId="0" fontId="4" fillId="34" borderId="0" xfId="0" applyFont="1" applyFill="1" applyAlignment="1" quotePrefix="1">
      <alignment horizontal="right"/>
    </xf>
    <xf numFmtId="0" fontId="3" fillId="0" borderId="0" xfId="0" applyFont="1" applyFill="1" applyBorder="1" applyAlignment="1">
      <alignment/>
    </xf>
    <xf numFmtId="0" fontId="4" fillId="0" borderId="0" xfId="0" applyFont="1" applyFill="1" applyBorder="1" applyAlignment="1" applyProtection="1" quotePrefix="1">
      <alignment/>
      <protection/>
    </xf>
    <xf numFmtId="0" fontId="4" fillId="0" borderId="0" xfId="0" applyFont="1" applyFill="1" applyBorder="1" applyAlignment="1" quotePrefix="1">
      <alignment/>
    </xf>
    <xf numFmtId="0" fontId="4" fillId="0" borderId="0" xfId="0" applyFont="1" applyFill="1" applyBorder="1" applyAlignment="1">
      <alignment/>
    </xf>
    <xf numFmtId="168" fontId="24" fillId="34" borderId="24" xfId="0" applyNumberFormat="1" applyFont="1" applyFill="1" applyBorder="1" applyAlignment="1" applyProtection="1">
      <alignment horizontal="right"/>
      <protection/>
    </xf>
    <xf numFmtId="42" fontId="4" fillId="0" borderId="0" xfId="0" applyNumberFormat="1" applyFont="1" applyBorder="1" applyAlignment="1" applyProtection="1">
      <alignment/>
      <protection/>
    </xf>
    <xf numFmtId="179" fontId="24" fillId="0" borderId="0" xfId="0" applyNumberFormat="1" applyFont="1" applyFill="1" applyBorder="1" applyAlignment="1" applyProtection="1">
      <alignment horizontal="right"/>
      <protection/>
    </xf>
    <xf numFmtId="0" fontId="102" fillId="0" borderId="39" xfId="0" applyFont="1" applyBorder="1" applyAlignment="1">
      <alignment horizontal="justify" vertical="top" wrapText="1"/>
    </xf>
    <xf numFmtId="0" fontId="102" fillId="0" borderId="39" xfId="0" applyFont="1" applyFill="1" applyBorder="1" applyAlignment="1">
      <alignment horizontal="justify" vertical="top"/>
    </xf>
    <xf numFmtId="37" fontId="4" fillId="0" borderId="38" xfId="0" applyNumberFormat="1" applyFont="1" applyFill="1" applyBorder="1" applyAlignment="1" applyProtection="1">
      <alignment horizontal="right"/>
      <protection locked="0"/>
    </xf>
    <xf numFmtId="37" fontId="12" fillId="7" borderId="10" xfId="63" applyNumberFormat="1" applyFont="1" applyFill="1" applyBorder="1" applyProtection="1">
      <alignment/>
      <protection locked="0"/>
    </xf>
    <xf numFmtId="37" fontId="8" fillId="7" borderId="0" xfId="0" applyNumberFormat="1" applyFont="1" applyFill="1" applyBorder="1" applyAlignment="1" applyProtection="1">
      <alignment/>
      <protection locked="0"/>
    </xf>
    <xf numFmtId="37" fontId="8" fillId="7" borderId="10" xfId="0" applyNumberFormat="1" applyFont="1" applyFill="1" applyBorder="1" applyAlignment="1" applyProtection="1">
      <alignment/>
      <protection locked="0"/>
    </xf>
    <xf numFmtId="3" fontId="10" fillId="0" borderId="20" xfId="0" applyNumberFormat="1" applyFont="1" applyBorder="1" applyAlignment="1" applyProtection="1">
      <alignment/>
      <protection locked="0"/>
    </xf>
    <xf numFmtId="3" fontId="10" fillId="0" borderId="28" xfId="0" applyNumberFormat="1" applyFont="1" applyBorder="1" applyAlignment="1" applyProtection="1">
      <alignment/>
      <protection locked="0"/>
    </xf>
    <xf numFmtId="3" fontId="10" fillId="0" borderId="20" xfId="0" applyNumberFormat="1" applyFont="1" applyBorder="1" applyAlignment="1" applyProtection="1">
      <alignment/>
      <protection locked="0"/>
    </xf>
    <xf numFmtId="3" fontId="10" fillId="0" borderId="16" xfId="0" applyNumberFormat="1" applyFont="1" applyFill="1" applyBorder="1" applyAlignment="1" applyProtection="1">
      <alignment/>
      <protection locked="0"/>
    </xf>
    <xf numFmtId="3" fontId="10" fillId="0" borderId="28" xfId="0" applyNumberFormat="1" applyFont="1" applyFill="1" applyBorder="1" applyAlignment="1" applyProtection="1">
      <alignment/>
      <protection locked="0"/>
    </xf>
    <xf numFmtId="3" fontId="10" fillId="0" borderId="13" xfId="0" applyNumberFormat="1" applyFont="1" applyBorder="1" applyAlignment="1" applyProtection="1">
      <alignment/>
      <protection locked="0"/>
    </xf>
    <xf numFmtId="3" fontId="10" fillId="0" borderId="86" xfId="0" applyNumberFormat="1" applyFont="1" applyFill="1" applyBorder="1" applyAlignment="1" applyProtection="1">
      <alignment/>
      <protection locked="0"/>
    </xf>
    <xf numFmtId="3" fontId="10" fillId="0" borderId="20" xfId="0" applyNumberFormat="1" applyFont="1" applyFill="1" applyBorder="1" applyAlignment="1" applyProtection="1">
      <alignment/>
      <protection locked="0"/>
    </xf>
    <xf numFmtId="3" fontId="10" fillId="0" borderId="17" xfId="0" applyNumberFormat="1" applyFont="1" applyFill="1" applyBorder="1" applyAlignment="1" applyProtection="1">
      <alignment/>
      <protection locked="0"/>
    </xf>
    <xf numFmtId="3" fontId="10" fillId="0" borderId="18" xfId="0" applyNumberFormat="1" applyFont="1" applyFill="1" applyBorder="1" applyAlignment="1" applyProtection="1">
      <alignment/>
      <protection locked="0"/>
    </xf>
    <xf numFmtId="37" fontId="15" fillId="0" borderId="57" xfId="0" applyNumberFormat="1" applyFont="1" applyBorder="1" applyAlignment="1" applyProtection="1">
      <alignment/>
      <protection locked="0"/>
    </xf>
    <xf numFmtId="37" fontId="15" fillId="0" borderId="49" xfId="0" applyNumberFormat="1" applyFont="1" applyFill="1" applyBorder="1" applyAlignment="1" applyProtection="1">
      <alignment horizontal="right"/>
      <protection locked="0"/>
    </xf>
    <xf numFmtId="37" fontId="15" fillId="0" borderId="53" xfId="0" applyNumberFormat="1" applyFont="1" applyFill="1" applyBorder="1" applyAlignment="1" applyProtection="1">
      <alignment horizontal="right"/>
      <protection locked="0"/>
    </xf>
    <xf numFmtId="37" fontId="15" fillId="0" borderId="51" xfId="0" applyNumberFormat="1" applyFont="1" applyBorder="1" applyAlignment="1" applyProtection="1">
      <alignment horizontal="right"/>
      <protection locked="0"/>
    </xf>
    <xf numFmtId="37" fontId="15" fillId="0" borderId="87" xfId="0" applyNumberFormat="1" applyFont="1" applyBorder="1" applyAlignment="1" applyProtection="1">
      <alignment horizontal="right"/>
      <protection locked="0"/>
    </xf>
    <xf numFmtId="37" fontId="15" fillId="0" borderId="28" xfId="0" applyNumberFormat="1" applyFont="1" applyFill="1" applyBorder="1" applyAlignment="1" applyProtection="1">
      <alignment horizontal="right"/>
      <protection locked="0"/>
    </xf>
    <xf numFmtId="37" fontId="15" fillId="0" borderId="51" xfId="0" applyNumberFormat="1" applyFont="1" applyFill="1" applyBorder="1" applyAlignment="1" applyProtection="1">
      <alignment horizontal="right"/>
      <protection locked="0"/>
    </xf>
    <xf numFmtId="37" fontId="15" fillId="0" borderId="39" xfId="0" applyNumberFormat="1" applyFont="1" applyBorder="1" applyAlignment="1" applyProtection="1">
      <alignment horizontal="right"/>
      <protection locked="0"/>
    </xf>
    <xf numFmtId="37" fontId="15" fillId="0" borderId="88" xfId="0" applyNumberFormat="1" applyFont="1" applyFill="1" applyBorder="1" applyAlignment="1" applyProtection="1">
      <alignment/>
      <protection locked="0"/>
    </xf>
    <xf numFmtId="37" fontId="15" fillId="0" borderId="39" xfId="0" applyNumberFormat="1" applyFont="1" applyFill="1" applyBorder="1" applyAlignment="1" applyProtection="1">
      <alignment horizontal="right"/>
      <protection locked="0"/>
    </xf>
    <xf numFmtId="37" fontId="15" fillId="0" borderId="28" xfId="0" applyNumberFormat="1" applyFont="1" applyBorder="1" applyAlignment="1" applyProtection="1">
      <alignment horizontal="right"/>
      <protection locked="0"/>
    </xf>
    <xf numFmtId="37" fontId="15" fillId="0" borderId="20" xfId="0" applyNumberFormat="1" applyFont="1" applyBorder="1" applyAlignment="1" applyProtection="1">
      <alignment/>
      <protection locked="0"/>
    </xf>
    <xf numFmtId="37" fontId="15" fillId="0" borderId="54" xfId="0" applyNumberFormat="1" applyFont="1" applyFill="1" applyBorder="1" applyAlignment="1" applyProtection="1">
      <alignment horizontal="right"/>
      <protection locked="0"/>
    </xf>
    <xf numFmtId="37" fontId="15" fillId="0" borderId="50" xfId="0" applyNumberFormat="1" applyFont="1" applyBorder="1" applyAlignment="1" applyProtection="1">
      <alignment/>
      <protection locked="0"/>
    </xf>
    <xf numFmtId="37" fontId="15" fillId="0" borderId="48" xfId="0" applyNumberFormat="1" applyFont="1" applyBorder="1" applyAlignment="1" applyProtection="1">
      <alignment/>
      <protection locked="0"/>
    </xf>
    <xf numFmtId="37" fontId="9" fillId="0" borderId="25" xfId="42" applyNumberFormat="1" applyFont="1" applyFill="1" applyBorder="1" applyAlignment="1" applyProtection="1">
      <alignment horizontal="right"/>
      <protection locked="0"/>
    </xf>
    <xf numFmtId="37" fontId="22" fillId="0" borderId="28" xfId="0" applyNumberFormat="1" applyFont="1" applyBorder="1" applyAlignment="1" applyProtection="1">
      <alignment/>
      <protection locked="0"/>
    </xf>
    <xf numFmtId="37" fontId="22" fillId="0" borderId="20" xfId="0" applyNumberFormat="1" applyFont="1" applyBorder="1" applyAlignment="1" applyProtection="1">
      <alignment/>
      <protection locked="0"/>
    </xf>
    <xf numFmtId="37" fontId="22" fillId="0" borderId="85" xfId="0" applyNumberFormat="1" applyFont="1" applyBorder="1" applyAlignment="1" applyProtection="1">
      <alignment/>
      <protection locked="0"/>
    </xf>
    <xf numFmtId="37" fontId="8" fillId="0" borderId="15" xfId="0" applyNumberFormat="1" applyFont="1" applyFill="1" applyBorder="1" applyAlignment="1" applyProtection="1">
      <alignment/>
      <protection locked="0"/>
    </xf>
    <xf numFmtId="37" fontId="6" fillId="0" borderId="20" xfId="61" applyNumberFormat="1" applyFont="1" applyFill="1" applyBorder="1" applyAlignment="1" applyProtection="1">
      <alignment horizontal="right"/>
      <protection locked="0"/>
    </xf>
    <xf numFmtId="37" fontId="14" fillId="0" borderId="28" xfId="65" applyNumberFormat="1" applyFont="1" applyFill="1" applyBorder="1" applyAlignment="1" applyProtection="1">
      <alignment horizontal="right"/>
      <protection locked="0"/>
    </xf>
    <xf numFmtId="37" fontId="14" fillId="0" borderId="20" xfId="65" applyNumberFormat="1" applyFont="1" applyFill="1" applyBorder="1" applyAlignment="1" applyProtection="1">
      <alignment horizontal="right"/>
      <protection locked="0"/>
    </xf>
    <xf numFmtId="3" fontId="10" fillId="0" borderId="20" xfId="0" applyNumberFormat="1" applyFont="1" applyFill="1" applyBorder="1" applyAlignment="1" applyProtection="1">
      <alignment/>
      <protection locked="0"/>
    </xf>
    <xf numFmtId="3" fontId="10" fillId="0" borderId="0" xfId="0" applyNumberFormat="1" applyFont="1" applyFill="1" applyAlignment="1" applyProtection="1">
      <alignment/>
      <protection locked="0"/>
    </xf>
    <xf numFmtId="3" fontId="10" fillId="0" borderId="13" xfId="0" applyNumberFormat="1" applyFont="1" applyFill="1" applyBorder="1" applyAlignment="1" applyProtection="1">
      <alignment/>
      <protection locked="0"/>
    </xf>
    <xf numFmtId="37" fontId="8" fillId="0" borderId="70" xfId="0" applyNumberFormat="1" applyFont="1" applyFill="1" applyBorder="1" applyAlignment="1" applyProtection="1">
      <alignment horizontal="right"/>
      <protection locked="0"/>
    </xf>
    <xf numFmtId="170" fontId="6" fillId="0" borderId="20" xfId="0" applyNumberFormat="1" applyFont="1" applyFill="1" applyBorder="1" applyAlignment="1" applyProtection="1">
      <alignment/>
      <protection locked="0"/>
    </xf>
    <xf numFmtId="37" fontId="22" fillId="0" borderId="28" xfId="0" applyNumberFormat="1" applyFont="1" applyFill="1" applyBorder="1" applyAlignment="1" applyProtection="1">
      <alignment/>
      <protection locked="0"/>
    </xf>
    <xf numFmtId="37" fontId="22" fillId="0" borderId="36" xfId="0" applyNumberFormat="1" applyFont="1" applyFill="1" applyBorder="1" applyAlignment="1" applyProtection="1">
      <alignment horizontal="right"/>
      <protection/>
    </xf>
    <xf numFmtId="37" fontId="12" fillId="0" borderId="89" xfId="0" applyNumberFormat="1" applyFont="1" applyFill="1" applyBorder="1" applyAlignment="1" applyProtection="1">
      <alignment/>
      <protection/>
    </xf>
    <xf numFmtId="37" fontId="10" fillId="0" borderId="20" xfId="0" applyNumberFormat="1" applyFont="1" applyFill="1" applyBorder="1" applyAlignment="1" applyProtection="1">
      <alignment/>
      <protection locked="0"/>
    </xf>
    <xf numFmtId="37" fontId="22" fillId="0" borderId="20" xfId="0" applyNumberFormat="1" applyFont="1" applyFill="1" applyBorder="1" applyAlignment="1" applyProtection="1">
      <alignment/>
      <protection locked="0"/>
    </xf>
    <xf numFmtId="37" fontId="14" fillId="0" borderId="90" xfId="65" applyNumberFormat="1" applyFont="1" applyFill="1" applyBorder="1" applyProtection="1">
      <alignment/>
      <protection/>
    </xf>
    <xf numFmtId="37" fontId="6" fillId="0" borderId="39" xfId="65" applyNumberFormat="1" applyFont="1" applyFill="1" applyBorder="1">
      <alignment/>
      <protection/>
    </xf>
    <xf numFmtId="37" fontId="18" fillId="33" borderId="0" xfId="63" applyNumberFormat="1">
      <alignment/>
      <protection/>
    </xf>
    <xf numFmtId="49" fontId="4" fillId="0" borderId="10" xfId="0" applyNumberFormat="1" applyFont="1" applyBorder="1" applyAlignment="1" applyProtection="1">
      <alignment horizontal="left"/>
      <protection locked="0"/>
    </xf>
    <xf numFmtId="49" fontId="2" fillId="0" borderId="10" xfId="0" applyNumberFormat="1" applyFont="1" applyBorder="1" applyAlignment="1" applyProtection="1">
      <alignment/>
      <protection locked="0"/>
    </xf>
    <xf numFmtId="0" fontId="8" fillId="0" borderId="10" xfId="0" applyFont="1" applyFill="1" applyBorder="1" applyAlignment="1" applyProtection="1">
      <alignment horizontal="center"/>
      <protection locked="0"/>
    </xf>
    <xf numFmtId="0" fontId="8" fillId="0" borderId="0" xfId="0" applyFont="1" applyFill="1" applyAlignment="1" applyProtection="1">
      <alignment horizontal="center"/>
      <protection/>
    </xf>
    <xf numFmtId="0" fontId="8" fillId="0" borderId="0" xfId="0" applyFont="1" applyAlignment="1" applyProtection="1">
      <alignment horizontal="center"/>
      <protection/>
    </xf>
    <xf numFmtId="0" fontId="8" fillId="0" borderId="15" xfId="0" applyFont="1" applyBorder="1" applyAlignment="1" applyProtection="1">
      <alignment horizontal="center"/>
      <protection/>
    </xf>
    <xf numFmtId="178" fontId="8" fillId="0" borderId="10" xfId="0" applyNumberFormat="1" applyFont="1" applyBorder="1" applyAlignment="1" applyProtection="1">
      <alignment horizontal="center"/>
      <protection locked="0"/>
    </xf>
    <xf numFmtId="0" fontId="8" fillId="0" borderId="10" xfId="0" applyFont="1" applyBorder="1" applyAlignment="1" applyProtection="1">
      <alignment horizontal="center"/>
      <protection locked="0"/>
    </xf>
    <xf numFmtId="0" fontId="27" fillId="0" borderId="10" xfId="55" applyBorder="1" applyAlignment="1" applyProtection="1">
      <alignment horizontal="center"/>
      <protection locked="0"/>
    </xf>
    <xf numFmtId="0" fontId="8" fillId="0" borderId="24"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Alignment="1">
      <alignment horizontal="left"/>
    </xf>
    <xf numFmtId="0" fontId="8" fillId="0" borderId="2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174" fontId="8" fillId="0" borderId="22" xfId="0" applyNumberFormat="1" applyFont="1" applyFill="1" applyBorder="1" applyAlignment="1" applyProtection="1">
      <alignment horizontal="center"/>
      <protection locked="0"/>
    </xf>
    <xf numFmtId="0" fontId="8" fillId="0" borderId="10" xfId="0" applyFont="1" applyBorder="1" applyAlignment="1" applyProtection="1">
      <alignment/>
      <protection/>
    </xf>
    <xf numFmtId="0" fontId="8" fillId="0" borderId="24" xfId="0" applyFont="1" applyBorder="1" applyAlignment="1">
      <alignment horizontal="center"/>
    </xf>
    <xf numFmtId="0" fontId="8" fillId="0" borderId="0" xfId="0" applyFont="1" applyAlignment="1">
      <alignment horizontal="center" vertical="center"/>
    </xf>
    <xf numFmtId="0" fontId="0" fillId="0" borderId="0" xfId="0" applyAlignment="1">
      <alignment vertical="center"/>
    </xf>
    <xf numFmtId="0" fontId="0" fillId="0" borderId="15" xfId="0" applyBorder="1" applyAlignment="1">
      <alignment vertical="center"/>
    </xf>
    <xf numFmtId="177" fontId="8" fillId="0" borderId="10" xfId="0" applyNumberFormat="1" applyFont="1" applyFill="1" applyBorder="1" applyAlignment="1" applyProtection="1">
      <alignment horizontal="center"/>
      <protection locked="0"/>
    </xf>
    <xf numFmtId="0" fontId="31" fillId="39" borderId="0" xfId="55" applyFont="1" applyFill="1" applyAlignment="1" applyProtection="1">
      <alignment horizontal="center" wrapText="1"/>
      <protection/>
    </xf>
    <xf numFmtId="0" fontId="8" fillId="0" borderId="15" xfId="0" applyFont="1" applyFill="1" applyBorder="1" applyAlignment="1" applyProtection="1">
      <alignment horizontal="center"/>
      <protection/>
    </xf>
    <xf numFmtId="0" fontId="8" fillId="0" borderId="22" xfId="0" applyFont="1" applyBorder="1" applyAlignment="1" applyProtection="1">
      <alignment/>
      <protection/>
    </xf>
    <xf numFmtId="0" fontId="8" fillId="0" borderId="10" xfId="0" applyFont="1" applyBorder="1" applyAlignment="1" applyProtection="1">
      <alignment horizontal="center"/>
      <protection/>
    </xf>
    <xf numFmtId="0" fontId="8" fillId="0" borderId="0" xfId="0" applyFont="1" applyFill="1" applyAlignment="1" applyProtection="1">
      <alignment horizontal="left"/>
      <protection/>
    </xf>
    <xf numFmtId="0" fontId="8" fillId="0" borderId="0" xfId="0" applyFont="1" applyAlignment="1" applyProtection="1">
      <alignment horizontal="justify" wrapText="1"/>
      <protection/>
    </xf>
    <xf numFmtId="174" fontId="8" fillId="0" borderId="10" xfId="0" applyNumberFormat="1" applyFont="1" applyFill="1" applyBorder="1" applyAlignment="1" applyProtection="1">
      <alignment horizontal="center"/>
      <protection locked="0"/>
    </xf>
    <xf numFmtId="0" fontId="8" fillId="0" borderId="24" xfId="0" applyFont="1" applyBorder="1" applyAlignment="1" applyProtection="1">
      <alignment horizontal="center" vertical="top"/>
      <protection/>
    </xf>
    <xf numFmtId="0" fontId="4" fillId="0" borderId="10" xfId="0" applyFont="1" applyFill="1" applyBorder="1" applyAlignment="1">
      <alignment horizontal="center"/>
    </xf>
    <xf numFmtId="0" fontId="2" fillId="0" borderId="10" xfId="0" applyFont="1" applyFill="1" applyBorder="1" applyAlignment="1">
      <alignment horizontal="center"/>
    </xf>
    <xf numFmtId="165" fontId="8" fillId="32" borderId="13" xfId="0" applyNumberFormat="1" applyFont="1" applyFill="1" applyBorder="1" applyAlignment="1" applyProtection="1">
      <alignment/>
      <protection/>
    </xf>
    <xf numFmtId="165" fontId="0" fillId="32" borderId="20" xfId="0" applyNumberFormat="1" applyFill="1" applyBorder="1" applyAlignment="1" applyProtection="1">
      <alignment/>
      <protection/>
    </xf>
    <xf numFmtId="3" fontId="8" fillId="0" borderId="13" xfId="0" applyNumberFormat="1" applyFont="1" applyBorder="1" applyAlignment="1" applyProtection="1">
      <alignment/>
      <protection/>
    </xf>
    <xf numFmtId="3" fontId="0" fillId="0" borderId="20" xfId="0" applyNumberFormat="1" applyBorder="1" applyAlignment="1" applyProtection="1">
      <alignment/>
      <protection/>
    </xf>
    <xf numFmtId="3" fontId="8" fillId="32" borderId="13" xfId="0" applyNumberFormat="1" applyFont="1" applyFill="1" applyBorder="1" applyAlignment="1" applyProtection="1">
      <alignment horizontal="right"/>
      <protection/>
    </xf>
    <xf numFmtId="3" fontId="0" fillId="32" borderId="20" xfId="0" applyNumberFormat="1" applyFill="1" applyBorder="1" applyAlignment="1" applyProtection="1">
      <alignment horizontal="right"/>
      <protection/>
    </xf>
    <xf numFmtId="3" fontId="8" fillId="32" borderId="13" xfId="0" applyNumberFormat="1" applyFont="1" applyFill="1" applyBorder="1" applyAlignment="1" applyProtection="1">
      <alignment/>
      <protection/>
    </xf>
    <xf numFmtId="3" fontId="0" fillId="32" borderId="20" xfId="0" applyNumberFormat="1" applyFill="1" applyBorder="1" applyAlignment="1" applyProtection="1">
      <alignment/>
      <protection/>
    </xf>
    <xf numFmtId="4" fontId="8" fillId="0" borderId="13" xfId="0" applyNumberFormat="1" applyFont="1" applyBorder="1" applyAlignment="1" applyProtection="1">
      <alignment horizontal="right"/>
      <protection/>
    </xf>
    <xf numFmtId="0" fontId="0" fillId="0" borderId="20" xfId="0" applyBorder="1" applyAlignment="1" applyProtection="1">
      <alignment/>
      <protection/>
    </xf>
    <xf numFmtId="3" fontId="10" fillId="0" borderId="13" xfId="0" applyNumberFormat="1" applyFont="1" applyBorder="1" applyAlignment="1" applyProtection="1">
      <alignment horizontal="right"/>
      <protection/>
    </xf>
    <xf numFmtId="3" fontId="32" fillId="0" borderId="20" xfId="0" applyNumberFormat="1" applyFont="1" applyBorder="1" applyAlignment="1" applyProtection="1">
      <alignment/>
      <protection/>
    </xf>
    <xf numFmtId="49" fontId="4" fillId="0" borderId="10" xfId="0" applyNumberFormat="1" applyFont="1" applyBorder="1" applyAlignment="1" applyProtection="1">
      <alignment horizontal="left"/>
      <protection/>
    </xf>
    <xf numFmtId="0" fontId="2" fillId="0" borderId="10" xfId="0" applyNumberFormat="1" applyFont="1" applyBorder="1" applyAlignment="1" applyProtection="1">
      <alignment/>
      <protection/>
    </xf>
    <xf numFmtId="4" fontId="8" fillId="0" borderId="13" xfId="0" applyNumberFormat="1" applyFont="1" applyBorder="1" applyAlignment="1" applyProtection="1">
      <alignment/>
      <protection/>
    </xf>
    <xf numFmtId="4" fontId="8" fillId="32" borderId="13" xfId="0" applyNumberFormat="1" applyFont="1" applyFill="1" applyBorder="1" applyAlignment="1" applyProtection="1">
      <alignment/>
      <protection/>
    </xf>
    <xf numFmtId="0" fontId="0" fillId="32" borderId="20" xfId="0" applyFill="1" applyBorder="1" applyAlignment="1" applyProtection="1">
      <alignment/>
      <protection/>
    </xf>
    <xf numFmtId="4" fontId="8" fillId="33" borderId="13" xfId="0" applyNumberFormat="1" applyFont="1" applyFill="1" applyBorder="1" applyAlignment="1" applyProtection="1">
      <alignment/>
      <protection/>
    </xf>
    <xf numFmtId="0" fontId="0" fillId="33" borderId="20" xfId="0" applyFill="1" applyBorder="1" applyAlignment="1" applyProtection="1">
      <alignment/>
      <protection/>
    </xf>
    <xf numFmtId="4" fontId="8" fillId="0" borderId="13" xfId="0" applyNumberFormat="1" applyFont="1" applyFill="1" applyBorder="1" applyAlignment="1" applyProtection="1">
      <alignment horizontal="right"/>
      <protection/>
    </xf>
    <xf numFmtId="0" fontId="0" fillId="0" borderId="20" xfId="0" applyFill="1" applyBorder="1" applyAlignment="1" applyProtection="1">
      <alignment horizontal="right"/>
      <protection/>
    </xf>
    <xf numFmtId="3" fontId="8" fillId="0" borderId="13" xfId="0" applyNumberFormat="1" applyFont="1" applyFill="1" applyBorder="1" applyAlignment="1" applyProtection="1">
      <alignment horizontal="right"/>
      <protection/>
    </xf>
    <xf numFmtId="3" fontId="0" fillId="0" borderId="20" xfId="0" applyNumberFormat="1" applyFill="1" applyBorder="1" applyAlignment="1" applyProtection="1">
      <alignment/>
      <protection/>
    </xf>
    <xf numFmtId="3" fontId="32" fillId="0" borderId="20" xfId="0" applyNumberFormat="1" applyFont="1" applyFill="1" applyBorder="1" applyAlignment="1" applyProtection="1">
      <alignment/>
      <protection/>
    </xf>
    <xf numFmtId="165" fontId="8" fillId="32" borderId="13" xfId="0" applyNumberFormat="1" applyFont="1" applyFill="1" applyBorder="1" applyAlignment="1" applyProtection="1">
      <alignment horizontal="right"/>
      <protection/>
    </xf>
    <xf numFmtId="165" fontId="8" fillId="32" borderId="20" xfId="0" applyNumberFormat="1" applyFont="1" applyFill="1" applyBorder="1" applyAlignment="1" applyProtection="1">
      <alignment horizontal="right"/>
      <protection/>
    </xf>
    <xf numFmtId="3" fontId="8" fillId="0" borderId="13" xfId="0" applyNumberFormat="1" applyFont="1" applyBorder="1" applyAlignment="1" applyProtection="1">
      <alignment horizontal="right"/>
      <protection/>
    </xf>
    <xf numFmtId="0" fontId="10" fillId="0" borderId="0" xfId="0" applyFont="1" applyFill="1" applyAlignment="1" applyProtection="1">
      <alignment horizontal="right" vertical="top" wrapText="1"/>
      <protection/>
    </xf>
    <xf numFmtId="3" fontId="0" fillId="0" borderId="20" xfId="0" applyNumberFormat="1" applyBorder="1" applyAlignment="1" applyProtection="1">
      <alignment horizontal="right"/>
      <protection/>
    </xf>
    <xf numFmtId="0" fontId="0" fillId="0" borderId="10" xfId="0" applyBorder="1" applyAlignment="1">
      <alignment/>
    </xf>
    <xf numFmtId="0" fontId="9" fillId="0" borderId="0" xfId="0" applyFont="1" applyAlignment="1" applyProtection="1">
      <alignment horizontal="right"/>
      <protection/>
    </xf>
    <xf numFmtId="0" fontId="0" fillId="0" borderId="0" xfId="0" applyAlignment="1">
      <alignment horizontal="right"/>
    </xf>
    <xf numFmtId="0" fontId="2" fillId="0" borderId="10" xfId="0" applyFont="1" applyBorder="1" applyAlignment="1" applyProtection="1">
      <alignment/>
      <protection/>
    </xf>
    <xf numFmtId="38" fontId="4" fillId="0" borderId="82" xfId="0" applyNumberFormat="1" applyFont="1" applyFill="1" applyBorder="1" applyAlignment="1" applyProtection="1">
      <alignment/>
      <protection/>
    </xf>
    <xf numFmtId="0" fontId="0" fillId="0" borderId="36" xfId="0" applyFill="1" applyBorder="1" applyAlignment="1">
      <alignment/>
    </xf>
    <xf numFmtId="0" fontId="37" fillId="39" borderId="0" xfId="55" applyFont="1" applyFill="1" applyAlignment="1" applyProtection="1">
      <alignment horizontal="left"/>
      <protection/>
    </xf>
    <xf numFmtId="0" fontId="108" fillId="39" borderId="0" xfId="55" applyFont="1" applyFill="1" applyAlignment="1" applyProtection="1">
      <alignment horizontal="left"/>
      <protection/>
    </xf>
    <xf numFmtId="38" fontId="4" fillId="0" borderId="15" xfId="0" applyNumberFormat="1" applyFont="1" applyBorder="1" applyAlignment="1" applyProtection="1">
      <alignment/>
      <protection/>
    </xf>
    <xf numFmtId="0" fontId="0" fillId="0" borderId="15" xfId="0" applyBorder="1" applyAlignment="1">
      <alignment/>
    </xf>
    <xf numFmtId="0" fontId="9" fillId="0" borderId="0" xfId="0" applyFont="1" applyFill="1" applyBorder="1" applyAlignment="1" applyProtection="1">
      <alignment horizontal="center"/>
      <protection/>
    </xf>
    <xf numFmtId="38" fontId="99" fillId="0" borderId="0" xfId="0" applyNumberFormat="1" applyFont="1" applyFill="1" applyBorder="1" applyAlignment="1">
      <alignment horizontal="right"/>
    </xf>
    <xf numFmtId="0" fontId="99" fillId="0" borderId="0" xfId="0" applyFont="1" applyFill="1" applyBorder="1" applyAlignment="1">
      <alignment horizontal="right"/>
    </xf>
    <xf numFmtId="38" fontId="4" fillId="0" borderId="36" xfId="0" applyNumberFormat="1" applyFont="1" applyFill="1" applyBorder="1" applyAlignment="1" applyProtection="1">
      <alignment/>
      <protection/>
    </xf>
    <xf numFmtId="0" fontId="4" fillId="0" borderId="0" xfId="0" applyFont="1" applyFill="1" applyBorder="1" applyAlignment="1" applyProtection="1">
      <alignment horizontal="justify" wrapText="1"/>
      <protection/>
    </xf>
    <xf numFmtId="0" fontId="0" fillId="0" borderId="0" xfId="0" applyFill="1" applyAlignment="1">
      <alignment horizontal="justify" wrapText="1"/>
    </xf>
    <xf numFmtId="0" fontId="0" fillId="0" borderId="0" xfId="0" applyFill="1" applyAlignment="1">
      <alignment horizontal="justify"/>
    </xf>
    <xf numFmtId="37" fontId="6" fillId="38" borderId="49" xfId="0" applyNumberFormat="1" applyFont="1" applyFill="1" applyBorder="1" applyAlignment="1" applyProtection="1">
      <alignment horizontal="right"/>
      <protection/>
    </xf>
    <xf numFmtId="37" fontId="6" fillId="35" borderId="18" xfId="0" applyNumberFormat="1" applyFont="1" applyFill="1" applyBorder="1" applyAlignment="1" applyProtection="1">
      <alignment horizontal="right"/>
      <protection/>
    </xf>
    <xf numFmtId="0" fontId="29" fillId="0" borderId="88" xfId="0" applyFont="1" applyBorder="1" applyAlignment="1">
      <alignment horizontal="right"/>
    </xf>
    <xf numFmtId="37" fontId="6" fillId="35" borderId="13" xfId="0" applyNumberFormat="1" applyFont="1" applyFill="1" applyBorder="1" applyAlignment="1" applyProtection="1">
      <alignment horizontal="right"/>
      <protection/>
    </xf>
    <xf numFmtId="37" fontId="6" fillId="0" borderId="49" xfId="0" applyNumberFormat="1" applyFont="1" applyBorder="1" applyAlignment="1">
      <alignment/>
    </xf>
    <xf numFmtId="0" fontId="29" fillId="0" borderId="88" xfId="0" applyFont="1" applyBorder="1" applyAlignment="1">
      <alignment/>
    </xf>
    <xf numFmtId="165" fontId="6" fillId="0" borderId="30" xfId="0" applyNumberFormat="1" applyFont="1" applyBorder="1" applyAlignment="1" applyProtection="1">
      <alignment horizontal="right"/>
      <protection/>
    </xf>
    <xf numFmtId="0" fontId="29" fillId="0" borderId="27" xfId="0" applyFont="1" applyBorder="1" applyAlignment="1">
      <alignment horizontal="right"/>
    </xf>
    <xf numFmtId="37" fontId="6" fillId="0" borderId="13" xfId="0" applyNumberFormat="1" applyFont="1" applyBorder="1" applyAlignment="1" applyProtection="1">
      <alignment horizontal="right"/>
      <protection/>
    </xf>
    <xf numFmtId="0" fontId="29" fillId="0" borderId="18" xfId="0" applyFont="1" applyBorder="1" applyAlignment="1">
      <alignment horizontal="right"/>
    </xf>
    <xf numFmtId="0" fontId="29" fillId="0" borderId="20" xfId="0" applyFont="1" applyBorder="1" applyAlignment="1">
      <alignment horizontal="right"/>
    </xf>
    <xf numFmtId="37" fontId="6" fillId="0" borderId="49" xfId="0" applyNumberFormat="1" applyFont="1" applyBorder="1" applyAlignment="1">
      <alignment horizontal="right"/>
    </xf>
    <xf numFmtId="37" fontId="6" fillId="35" borderId="20" xfId="0" applyNumberFormat="1" applyFont="1" applyFill="1" applyBorder="1" applyAlignment="1" applyProtection="1">
      <alignment horizontal="right"/>
      <protection/>
    </xf>
    <xf numFmtId="37" fontId="6" fillId="0" borderId="49" xfId="0" applyNumberFormat="1" applyFont="1" applyBorder="1" applyAlignment="1" applyProtection="1">
      <alignment horizontal="right"/>
      <protection/>
    </xf>
    <xf numFmtId="37" fontId="6" fillId="35" borderId="88" xfId="0" applyNumberFormat="1" applyFont="1" applyFill="1" applyBorder="1" applyAlignment="1" applyProtection="1">
      <alignment horizontal="right"/>
      <protection/>
    </xf>
    <xf numFmtId="0" fontId="15" fillId="0" borderId="0" xfId="0" applyFont="1" applyFill="1" applyAlignment="1" applyProtection="1">
      <alignment horizontal="left" vertical="top" wrapText="1"/>
      <protection/>
    </xf>
    <xf numFmtId="0" fontId="4" fillId="0" borderId="38" xfId="0" applyFont="1" applyFill="1" applyBorder="1" applyAlignment="1">
      <alignment horizontal="left"/>
    </xf>
    <xf numFmtId="49" fontId="4" fillId="0" borderId="10" xfId="0" applyNumberFormat="1" applyFont="1" applyBorder="1" applyAlignment="1" applyProtection="1">
      <alignment horizontal="left" vertical="center"/>
      <protection/>
    </xf>
    <xf numFmtId="0" fontId="0" fillId="0" borderId="10" xfId="0" applyBorder="1" applyAlignment="1" applyProtection="1">
      <alignment vertic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29" fillId="38" borderId="18" xfId="0" applyFont="1" applyFill="1" applyBorder="1" applyAlignment="1">
      <alignment horizontal="right"/>
    </xf>
    <xf numFmtId="0" fontId="29" fillId="38" borderId="20" xfId="0" applyFont="1" applyFill="1" applyBorder="1" applyAlignment="1">
      <alignment horizontal="right"/>
    </xf>
    <xf numFmtId="0" fontId="9" fillId="0" borderId="0" xfId="0" applyFont="1" applyFill="1" applyBorder="1" applyAlignment="1" applyProtection="1">
      <alignment horizontal="right"/>
      <protection/>
    </xf>
    <xf numFmtId="0" fontId="32" fillId="0" borderId="0" xfId="0" applyFont="1" applyFill="1" applyAlignment="1">
      <alignment horizontal="right"/>
    </xf>
    <xf numFmtId="165" fontId="6" fillId="0" borderId="49" xfId="0" applyNumberFormat="1" applyFont="1" applyBorder="1" applyAlignment="1" applyProtection="1">
      <alignment horizontal="right"/>
      <protection/>
    </xf>
    <xf numFmtId="165" fontId="6" fillId="0" borderId="69" xfId="0" applyNumberFormat="1" applyFont="1" applyBorder="1" applyAlignment="1" applyProtection="1">
      <alignment horizontal="right"/>
      <protection/>
    </xf>
    <xf numFmtId="0" fontId="29" fillId="0" borderId="50" xfId="0" applyFont="1" applyBorder="1" applyAlignment="1">
      <alignment horizontal="right"/>
    </xf>
    <xf numFmtId="37" fontId="6" fillId="0" borderId="13" xfId="0" applyNumberFormat="1" applyFont="1" applyFill="1" applyBorder="1" applyAlignment="1" applyProtection="1">
      <alignment horizontal="right"/>
      <protection/>
    </xf>
    <xf numFmtId="0" fontId="29" fillId="0" borderId="20" xfId="0" applyFont="1" applyFill="1" applyBorder="1" applyAlignment="1">
      <alignment horizontal="right"/>
    </xf>
    <xf numFmtId="37" fontId="6" fillId="0" borderId="91" xfId="0" applyNumberFormat="1" applyFont="1" applyBorder="1" applyAlignment="1" applyProtection="1">
      <alignment horizontal="right"/>
      <protection/>
    </xf>
    <xf numFmtId="0" fontId="29" fillId="0" borderId="15" xfId="0" applyFont="1" applyBorder="1" applyAlignment="1">
      <alignment horizontal="right"/>
    </xf>
    <xf numFmtId="0" fontId="29" fillId="0" borderId="35" xfId="0" applyFont="1" applyBorder="1" applyAlignment="1">
      <alignment horizontal="right"/>
    </xf>
    <xf numFmtId="0" fontId="29" fillId="0" borderId="18" xfId="0" applyFont="1" applyFill="1" applyBorder="1" applyAlignment="1">
      <alignment horizontal="right"/>
    </xf>
    <xf numFmtId="0" fontId="29" fillId="0" borderId="42" xfId="0" applyFont="1" applyBorder="1" applyAlignment="1">
      <alignment horizontal="right"/>
    </xf>
    <xf numFmtId="37" fontId="6" fillId="0" borderId="20" xfId="0" applyNumberFormat="1" applyFont="1" applyBorder="1" applyAlignment="1" applyProtection="1">
      <alignment horizontal="right"/>
      <protection/>
    </xf>
    <xf numFmtId="0" fontId="0" fillId="35" borderId="20" xfId="0" applyFill="1" applyBorder="1" applyAlignment="1" applyProtection="1">
      <alignment horizontal="right"/>
      <protection/>
    </xf>
    <xf numFmtId="37" fontId="6" fillId="0" borderId="46" xfId="0" applyNumberFormat="1" applyFont="1" applyFill="1" applyBorder="1" applyAlignment="1" applyProtection="1">
      <alignment horizontal="right"/>
      <protection/>
    </xf>
    <xf numFmtId="0" fontId="29" fillId="0" borderId="45" xfId="0" applyFont="1" applyFill="1" applyBorder="1" applyAlignment="1">
      <alignment horizontal="right"/>
    </xf>
    <xf numFmtId="0" fontId="29" fillId="0" borderId="92" xfId="0" applyFont="1" applyFill="1" applyBorder="1" applyAlignment="1">
      <alignment horizontal="right"/>
    </xf>
    <xf numFmtId="37" fontId="6" fillId="0" borderId="49" xfId="0" applyNumberFormat="1" applyFont="1" applyFill="1" applyBorder="1" applyAlignment="1" applyProtection="1">
      <alignment horizontal="right"/>
      <protection/>
    </xf>
    <xf numFmtId="37" fontId="6" fillId="0" borderId="20" xfId="0" applyNumberFormat="1" applyFont="1" applyFill="1" applyBorder="1" applyAlignment="1" applyProtection="1">
      <alignment horizontal="right"/>
      <protection/>
    </xf>
    <xf numFmtId="49" fontId="6" fillId="0" borderId="0" xfId="0" applyNumberFormat="1" applyFont="1" applyBorder="1" applyAlignment="1" applyProtection="1">
      <alignment horizontal="left"/>
      <protection/>
    </xf>
    <xf numFmtId="0" fontId="0" fillId="0" borderId="0" xfId="0" applyAlignment="1" applyProtection="1">
      <alignment horizontal="left"/>
      <protection/>
    </xf>
    <xf numFmtId="0" fontId="0" fillId="35" borderId="18" xfId="0" applyFill="1" applyBorder="1" applyAlignment="1" applyProtection="1">
      <alignment horizontal="right"/>
      <protection/>
    </xf>
    <xf numFmtId="165" fontId="6" fillId="0" borderId="69" xfId="0" applyNumberFormat="1" applyFont="1" applyFill="1" applyBorder="1" applyAlignment="1" applyProtection="1">
      <alignment horizontal="right"/>
      <protection/>
    </xf>
    <xf numFmtId="0" fontId="29" fillId="0" borderId="50" xfId="0" applyFont="1" applyFill="1" applyBorder="1" applyAlignment="1">
      <alignment horizontal="right"/>
    </xf>
    <xf numFmtId="37" fontId="6" fillId="35" borderId="45" xfId="0" applyNumberFormat="1" applyFont="1" applyFill="1" applyBorder="1" applyAlignment="1" applyProtection="1">
      <alignment horizontal="right"/>
      <protection/>
    </xf>
    <xf numFmtId="37" fontId="6" fillId="35" borderId="48" xfId="0" applyNumberFormat="1" applyFont="1" applyFill="1" applyBorder="1" applyAlignment="1" applyProtection="1">
      <alignment horizontal="right"/>
      <protection/>
    </xf>
    <xf numFmtId="165" fontId="6" fillId="0" borderId="46" xfId="0" applyNumberFormat="1" applyFont="1" applyBorder="1" applyAlignment="1" applyProtection="1">
      <alignment horizontal="right"/>
      <protection/>
    </xf>
    <xf numFmtId="0" fontId="29" fillId="0" borderId="45" xfId="0" applyFont="1" applyBorder="1" applyAlignment="1">
      <alignment horizontal="right"/>
    </xf>
    <xf numFmtId="0" fontId="29" fillId="0" borderId="48" xfId="0" applyFont="1" applyBorder="1" applyAlignment="1">
      <alignment horizontal="right"/>
    </xf>
    <xf numFmtId="37" fontId="6" fillId="0" borderId="45" xfId="0" applyNumberFormat="1" applyFont="1" applyBorder="1" applyAlignment="1">
      <alignment horizontal="right"/>
    </xf>
    <xf numFmtId="37" fontId="6" fillId="0" borderId="48" xfId="0" applyNumberFormat="1" applyFont="1" applyBorder="1" applyAlignment="1">
      <alignment horizontal="right"/>
    </xf>
    <xf numFmtId="37" fontId="8" fillId="0" borderId="13" xfId="0" applyNumberFormat="1" applyFont="1" applyBorder="1" applyAlignment="1" applyProtection="1">
      <alignment horizontal="right"/>
      <protection/>
    </xf>
    <xf numFmtId="0" fontId="0" fillId="0" borderId="20" xfId="0" applyBorder="1" applyAlignment="1">
      <alignment/>
    </xf>
    <xf numFmtId="37" fontId="8" fillId="36" borderId="13" xfId="0" applyNumberFormat="1" applyFont="1" applyFill="1" applyBorder="1" applyAlignment="1" applyProtection="1">
      <alignment horizontal="right"/>
      <protection/>
    </xf>
    <xf numFmtId="0" fontId="0" fillId="33" borderId="20" xfId="0" applyFill="1" applyBorder="1" applyAlignment="1" applyProtection="1">
      <alignment horizontal="right"/>
      <protection/>
    </xf>
    <xf numFmtId="0" fontId="0" fillId="0" borderId="10" xfId="0" applyBorder="1" applyAlignment="1" applyProtection="1">
      <alignment horizontal="left"/>
      <protection/>
    </xf>
    <xf numFmtId="0" fontId="8" fillId="0" borderId="13" xfId="0" applyFont="1" applyBorder="1" applyAlignment="1" applyProtection="1">
      <alignment horizontal="center"/>
      <protection/>
    </xf>
    <xf numFmtId="0" fontId="0" fillId="0" borderId="18" xfId="0" applyBorder="1" applyAlignment="1" applyProtection="1">
      <alignment/>
      <protection/>
    </xf>
    <xf numFmtId="0" fontId="8" fillId="0" borderId="74" xfId="0" applyFont="1" applyBorder="1" applyAlignment="1" applyProtection="1">
      <alignment horizontal="center" wrapText="1"/>
      <protection/>
    </xf>
    <xf numFmtId="0" fontId="0" fillId="0" borderId="45" xfId="0" applyBorder="1" applyAlignment="1" applyProtection="1">
      <alignment horizontal="center" wrapText="1"/>
      <protection/>
    </xf>
    <xf numFmtId="0" fontId="8" fillId="0" borderId="74" xfId="0" applyFont="1" applyFill="1" applyBorder="1" applyAlignment="1">
      <alignment horizontal="center" wrapText="1"/>
    </xf>
    <xf numFmtId="0" fontId="8" fillId="0" borderId="45" xfId="0" applyFont="1" applyFill="1" applyBorder="1" applyAlignment="1">
      <alignment horizontal="center" wrapText="1"/>
    </xf>
    <xf numFmtId="0" fontId="7" fillId="0" borderId="10" xfId="0" applyFont="1" applyBorder="1" applyAlignment="1" applyProtection="1">
      <alignment horizontal="center"/>
      <protection/>
    </xf>
    <xf numFmtId="0" fontId="8" fillId="0" borderId="0" xfId="0" applyFont="1" applyFill="1" applyAlignment="1">
      <alignment horizontal="left" vertical="top" wrapText="1"/>
    </xf>
    <xf numFmtId="37" fontId="8" fillId="35" borderId="13" xfId="0" applyNumberFormat="1" applyFont="1" applyFill="1" applyBorder="1" applyAlignment="1" applyProtection="1">
      <alignment horizontal="right"/>
      <protection/>
    </xf>
    <xf numFmtId="37" fontId="8" fillId="35" borderId="66" xfId="0" applyNumberFormat="1" applyFont="1" applyFill="1" applyBorder="1" applyAlignment="1" applyProtection="1">
      <alignment horizontal="right"/>
      <protection/>
    </xf>
    <xf numFmtId="0" fontId="0" fillId="35" borderId="93" xfId="0" applyFill="1" applyBorder="1" applyAlignment="1" applyProtection="1">
      <alignment/>
      <protection/>
    </xf>
    <xf numFmtId="0" fontId="8" fillId="0" borderId="0" xfId="0" applyFont="1" applyFill="1" applyBorder="1" applyAlignment="1" applyProtection="1">
      <alignment horizontal="left"/>
      <protection/>
    </xf>
    <xf numFmtId="165" fontId="8" fillId="36" borderId="13" xfId="0" applyNumberFormat="1" applyFont="1" applyFill="1" applyBorder="1" applyAlignment="1" applyProtection="1">
      <alignment horizontal="right"/>
      <protection/>
    </xf>
    <xf numFmtId="165" fontId="0" fillId="33" borderId="20" xfId="0" applyNumberFormat="1" applyFill="1" applyBorder="1" applyAlignment="1" applyProtection="1">
      <alignment horizontal="right"/>
      <protection/>
    </xf>
    <xf numFmtId="37" fontId="8" fillId="0" borderId="13" xfId="0" applyNumberFormat="1" applyFont="1" applyFill="1" applyBorder="1" applyAlignment="1" applyProtection="1">
      <alignment horizontal="right"/>
      <protection/>
    </xf>
    <xf numFmtId="0" fontId="0" fillId="0" borderId="20" xfId="0" applyBorder="1" applyAlignment="1" applyProtection="1">
      <alignment horizontal="right"/>
      <protection/>
    </xf>
    <xf numFmtId="0" fontId="8" fillId="0" borderId="0" xfId="0" applyFont="1" applyBorder="1" applyAlignment="1" applyProtection="1">
      <alignment horizontal="center" wrapText="1"/>
      <protection/>
    </xf>
    <xf numFmtId="0" fontId="8" fillId="0" borderId="38" xfId="0" applyFont="1" applyBorder="1" applyAlignment="1" applyProtection="1">
      <alignment horizontal="center" wrapText="1"/>
      <protection/>
    </xf>
    <xf numFmtId="49" fontId="8" fillId="0" borderId="0" xfId="0" applyNumberFormat="1" applyFont="1" applyFill="1" applyBorder="1" applyAlignment="1" applyProtection="1">
      <alignment horizontal="left"/>
      <protection/>
    </xf>
    <xf numFmtId="0" fontId="8" fillId="0" borderId="0" xfId="0" applyFont="1" applyFill="1" applyBorder="1" applyAlignment="1" applyProtection="1">
      <alignment horizontal="left" vertical="center" wrapText="1"/>
      <protection/>
    </xf>
    <xf numFmtId="0" fontId="0" fillId="0" borderId="0" xfId="0" applyFill="1" applyAlignment="1">
      <alignment horizontal="left" vertical="center" wrapText="1"/>
    </xf>
    <xf numFmtId="0" fontId="8" fillId="0" borderId="0" xfId="0" applyFont="1" applyFill="1" applyAlignment="1" applyProtection="1">
      <alignment horizontal="left" wrapText="1"/>
      <protection/>
    </xf>
    <xf numFmtId="0" fontId="0" fillId="0" borderId="10" xfId="0" applyBorder="1" applyAlignment="1" applyProtection="1">
      <alignment/>
      <protection/>
    </xf>
    <xf numFmtId="0" fontId="15" fillId="0" borderId="12" xfId="61" applyFont="1" applyBorder="1" applyAlignment="1" applyProtection="1">
      <alignment horizontal="center"/>
      <protection/>
    </xf>
    <xf numFmtId="0" fontId="15" fillId="0" borderId="13" xfId="61" applyFont="1" applyBorder="1" applyAlignment="1" applyProtection="1">
      <alignment horizontal="center"/>
      <protection/>
    </xf>
    <xf numFmtId="175" fontId="15" fillId="32" borderId="13" xfId="61" applyNumberFormat="1" applyFont="1" applyFill="1" applyBorder="1" applyAlignment="1">
      <alignment horizontal="center"/>
      <protection/>
    </xf>
    <xf numFmtId="175" fontId="15" fillId="32" borderId="20" xfId="61" applyNumberFormat="1" applyFont="1" applyFill="1" applyBorder="1" applyAlignment="1">
      <alignment horizontal="center"/>
      <protection/>
    </xf>
    <xf numFmtId="0" fontId="47" fillId="39" borderId="11" xfId="55" applyFont="1" applyFill="1" applyBorder="1" applyAlignment="1" applyProtection="1">
      <alignment horizontal="center"/>
      <protection/>
    </xf>
    <xf numFmtId="0" fontId="47" fillId="39" borderId="12" xfId="55" applyFont="1" applyFill="1" applyBorder="1" applyAlignment="1" applyProtection="1">
      <alignment horizontal="center"/>
      <protection/>
    </xf>
    <xf numFmtId="0" fontId="47" fillId="39" borderId="40" xfId="55" applyFont="1" applyFill="1" applyBorder="1" applyAlignment="1" applyProtection="1">
      <alignment horizontal="center"/>
      <protection/>
    </xf>
    <xf numFmtId="0" fontId="47" fillId="39" borderId="35" xfId="55" applyFont="1" applyFill="1" applyBorder="1" applyAlignment="1" applyProtection="1">
      <alignment horizontal="center"/>
      <protection/>
    </xf>
    <xf numFmtId="0" fontId="15" fillId="0" borderId="17" xfId="61" applyFont="1" applyBorder="1" applyAlignment="1" applyProtection="1">
      <alignment horizontal="center"/>
      <protection/>
    </xf>
    <xf numFmtId="0" fontId="15" fillId="0" borderId="20" xfId="61" applyFont="1" applyBorder="1" applyAlignment="1" applyProtection="1">
      <alignment horizontal="center"/>
      <protection/>
    </xf>
    <xf numFmtId="3" fontId="8" fillId="0" borderId="0" xfId="0" applyNumberFormat="1" applyFont="1" applyFill="1" applyBorder="1" applyAlignment="1" applyProtection="1">
      <alignment horizontal="right"/>
      <protection/>
    </xf>
    <xf numFmtId="0" fontId="0" fillId="0" borderId="0" xfId="0" applyFill="1" applyBorder="1" applyAlignment="1" applyProtection="1">
      <alignment horizontal="right"/>
      <protection/>
    </xf>
    <xf numFmtId="37" fontId="8"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right"/>
      <protection/>
    </xf>
    <xf numFmtId="165" fontId="8" fillId="0" borderId="0" xfId="0" applyNumberFormat="1" applyFont="1" applyFill="1" applyBorder="1" applyAlignment="1" applyProtection="1">
      <alignment horizontal="right"/>
      <protection/>
    </xf>
    <xf numFmtId="3" fontId="8" fillId="0" borderId="0" xfId="0" applyNumberFormat="1" applyFont="1" applyFill="1" applyBorder="1" applyAlignment="1" applyProtection="1">
      <alignment/>
      <protection/>
    </xf>
    <xf numFmtId="4" fontId="12" fillId="0" borderId="21" xfId="0" applyNumberFormat="1" applyFont="1" applyBorder="1" applyAlignment="1" applyProtection="1">
      <alignment horizontal="right"/>
      <protection locked="0"/>
    </xf>
    <xf numFmtId="4" fontId="12" fillId="0" borderId="23" xfId="0" applyNumberFormat="1" applyFont="1" applyBorder="1" applyAlignment="1" applyProtection="1">
      <alignment horizontal="right"/>
      <protection locked="0"/>
    </xf>
    <xf numFmtId="4" fontId="12" fillId="0" borderId="94" xfId="0" applyNumberFormat="1" applyFont="1" applyBorder="1" applyAlignment="1" applyProtection="1">
      <alignment horizontal="right"/>
      <protection locked="0"/>
    </xf>
    <xf numFmtId="4" fontId="12" fillId="0" borderId="56" xfId="0" applyNumberFormat="1" applyFont="1" applyBorder="1" applyAlignment="1" applyProtection="1">
      <alignment horizontal="right"/>
      <protection locked="0"/>
    </xf>
    <xf numFmtId="4" fontId="12" fillId="0" borderId="95" xfId="0" applyNumberFormat="1" applyFont="1" applyBorder="1" applyAlignment="1" applyProtection="1">
      <alignment horizontal="right"/>
      <protection/>
    </xf>
    <xf numFmtId="4" fontId="12" fillId="0" borderId="96" xfId="0" applyNumberFormat="1" applyFont="1" applyBorder="1" applyAlignment="1" applyProtection="1">
      <alignment horizontal="right"/>
      <protection/>
    </xf>
    <xf numFmtId="4" fontId="12" fillId="0" borderId="16" xfId="0" applyNumberFormat="1" applyFont="1" applyBorder="1" applyAlignment="1" applyProtection="1">
      <alignment horizontal="right"/>
      <protection locked="0"/>
    </xf>
    <xf numFmtId="4" fontId="12" fillId="0" borderId="17" xfId="0" applyNumberFormat="1" applyFont="1" applyBorder="1" applyAlignment="1" applyProtection="1">
      <alignment horizontal="right"/>
      <protection locked="0"/>
    </xf>
    <xf numFmtId="49" fontId="10" fillId="0" borderId="0" xfId="0" applyNumberFormat="1" applyFont="1" applyFill="1" applyBorder="1" applyAlignment="1" applyProtection="1">
      <alignment horizontal="left"/>
      <protection/>
    </xf>
    <xf numFmtId="0" fontId="32" fillId="0" borderId="0" xfId="0" applyFont="1" applyFill="1" applyAlignment="1" applyProtection="1">
      <alignment horizontal="left"/>
      <protection/>
    </xf>
    <xf numFmtId="37" fontId="12" fillId="0" borderId="59" xfId="0" applyNumberFormat="1" applyFont="1" applyFill="1" applyBorder="1" applyAlignment="1" applyProtection="1">
      <alignment horizontal="right"/>
      <protection locked="0"/>
    </xf>
    <xf numFmtId="0" fontId="0" fillId="0" borderId="60" xfId="0" applyFill="1" applyBorder="1" applyAlignment="1" applyProtection="1">
      <alignment horizontal="right"/>
      <protection locked="0"/>
    </xf>
    <xf numFmtId="37" fontId="8" fillId="0" borderId="11" xfId="0" applyNumberFormat="1" applyFont="1" applyFill="1" applyBorder="1" applyAlignment="1" applyProtection="1">
      <alignment horizontal="right"/>
      <protection/>
    </xf>
    <xf numFmtId="37" fontId="8" fillId="0" borderId="12" xfId="0" applyNumberFormat="1" applyFont="1" applyFill="1" applyBorder="1" applyAlignment="1" applyProtection="1">
      <alignment horizontal="right"/>
      <protection/>
    </xf>
    <xf numFmtId="37" fontId="12" fillId="0" borderId="21" xfId="0" applyNumberFormat="1" applyFont="1" applyFill="1" applyBorder="1" applyAlignment="1" applyProtection="1">
      <alignment horizontal="right"/>
      <protection locked="0"/>
    </xf>
    <xf numFmtId="0" fontId="0" fillId="0" borderId="23" xfId="0" applyFill="1" applyBorder="1" applyAlignment="1" applyProtection="1">
      <alignment horizontal="right"/>
      <protection locked="0"/>
    </xf>
    <xf numFmtId="37" fontId="10" fillId="0" borderId="10" xfId="0" applyNumberFormat="1" applyFont="1" applyFill="1" applyBorder="1" applyAlignment="1" applyProtection="1">
      <alignment horizontal="center"/>
      <protection/>
    </xf>
    <xf numFmtId="0" fontId="0" fillId="0" borderId="10" xfId="0" applyFill="1" applyBorder="1" applyAlignment="1">
      <alignment/>
    </xf>
    <xf numFmtId="37" fontId="8" fillId="0" borderId="21" xfId="0" applyNumberFormat="1" applyFont="1" applyFill="1" applyBorder="1" applyAlignment="1" applyProtection="1">
      <alignment horizontal="right"/>
      <protection/>
    </xf>
    <xf numFmtId="37" fontId="8" fillId="0" borderId="23"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37" fontId="8" fillId="0" borderId="21" xfId="0" applyNumberFormat="1" applyFont="1" applyFill="1" applyBorder="1" applyAlignment="1" applyProtection="1">
      <alignment horizontal="right"/>
      <protection locked="0"/>
    </xf>
    <xf numFmtId="37" fontId="8" fillId="0" borderId="23" xfId="0" applyNumberFormat="1" applyFont="1" applyFill="1" applyBorder="1" applyAlignment="1" applyProtection="1">
      <alignment horizontal="right"/>
      <protection locked="0"/>
    </xf>
    <xf numFmtId="4" fontId="12" fillId="0" borderId="97" xfId="0" applyNumberFormat="1" applyFont="1" applyBorder="1" applyAlignment="1" applyProtection="1">
      <alignment horizontal="right"/>
      <protection locked="0"/>
    </xf>
    <xf numFmtId="4" fontId="12" fillId="0" borderId="98" xfId="0" applyNumberFormat="1" applyFont="1" applyBorder="1" applyAlignment="1" applyProtection="1">
      <alignment horizontal="right"/>
      <protection locked="0"/>
    </xf>
    <xf numFmtId="4" fontId="12" fillId="0" borderId="99" xfId="0" applyNumberFormat="1" applyFont="1" applyBorder="1" applyAlignment="1" applyProtection="1">
      <alignment horizontal="right"/>
      <protection/>
    </xf>
    <xf numFmtId="4" fontId="12" fillId="0" borderId="100" xfId="0" applyNumberFormat="1" applyFont="1" applyBorder="1" applyAlignment="1" applyProtection="1">
      <alignment horizontal="right"/>
      <protection/>
    </xf>
    <xf numFmtId="0" fontId="10" fillId="0" borderId="10" xfId="0" applyFont="1" applyFill="1" applyBorder="1" applyAlignment="1" applyProtection="1">
      <alignment horizontal="center"/>
      <protection/>
    </xf>
    <xf numFmtId="49" fontId="4" fillId="0" borderId="10" xfId="0" applyNumberFormat="1" applyFont="1" applyBorder="1" applyAlignment="1" applyProtection="1">
      <alignment horizontal="center"/>
      <protection/>
    </xf>
    <xf numFmtId="4" fontId="12" fillId="0" borderId="14" xfId="0" applyNumberFormat="1" applyFont="1" applyBorder="1" applyAlignment="1" applyProtection="1">
      <alignment horizontal="right"/>
      <protection/>
    </xf>
    <xf numFmtId="0" fontId="0" fillId="0" borderId="16" xfId="0" applyBorder="1" applyAlignment="1">
      <alignment horizontal="right"/>
    </xf>
    <xf numFmtId="37" fontId="12" fillId="0" borderId="72" xfId="0" applyNumberFormat="1" applyFont="1" applyBorder="1" applyAlignment="1" applyProtection="1">
      <alignment horizontal="right"/>
      <protection/>
    </xf>
    <xf numFmtId="0" fontId="0" fillId="0" borderId="17" xfId="0" applyBorder="1" applyAlignment="1">
      <alignment horizontal="right"/>
    </xf>
    <xf numFmtId="0" fontId="12" fillId="0" borderId="24" xfId="0" applyFont="1" applyBorder="1" applyAlignment="1" applyProtection="1">
      <alignment horizontal="center"/>
      <protection/>
    </xf>
    <xf numFmtId="0" fontId="12" fillId="0" borderId="12" xfId="0" applyFont="1" applyBorder="1" applyAlignment="1" applyProtection="1">
      <alignment horizontal="center"/>
      <protection/>
    </xf>
    <xf numFmtId="0" fontId="22" fillId="0" borderId="14" xfId="0" applyFont="1" applyBorder="1" applyAlignment="1" applyProtection="1">
      <alignment horizontal="center"/>
      <protection/>
    </xf>
    <xf numFmtId="0" fontId="22" fillId="0" borderId="0" xfId="0" applyFont="1" applyBorder="1" applyAlignment="1" applyProtection="1">
      <alignment horizontal="center"/>
      <protection/>
    </xf>
    <xf numFmtId="0" fontId="22" fillId="0" borderId="15" xfId="0" applyFont="1" applyBorder="1" applyAlignment="1" applyProtection="1">
      <alignment horizontal="center"/>
      <protection/>
    </xf>
    <xf numFmtId="0" fontId="12" fillId="0" borderId="94" xfId="0" applyFont="1" applyBorder="1" applyAlignment="1" applyProtection="1">
      <alignment horizontal="center"/>
      <protection/>
    </xf>
    <xf numFmtId="0" fontId="12" fillId="0" borderId="56" xfId="0" applyFont="1" applyBorder="1" applyAlignment="1" applyProtection="1">
      <alignment horizontal="center"/>
      <protection/>
    </xf>
    <xf numFmtId="0" fontId="4" fillId="0" borderId="10" xfId="0" applyFont="1" applyBorder="1" applyAlignment="1" applyProtection="1">
      <alignment horizontal="left"/>
      <protection/>
    </xf>
    <xf numFmtId="37" fontId="8" fillId="0" borderId="0" xfId="0" applyNumberFormat="1" applyFont="1" applyFill="1" applyBorder="1" applyAlignment="1" applyProtection="1">
      <alignment/>
      <protection/>
    </xf>
    <xf numFmtId="0" fontId="0" fillId="0" borderId="0" xfId="0" applyFill="1" applyBorder="1" applyAlignment="1">
      <alignment/>
    </xf>
    <xf numFmtId="0" fontId="10" fillId="0" borderId="0" xfId="0" applyFont="1" applyFill="1" applyBorder="1" applyAlignment="1" applyProtection="1">
      <alignment horizontal="center"/>
      <protection/>
    </xf>
    <xf numFmtId="0" fontId="0" fillId="0" borderId="0" xfId="0" applyFill="1" applyBorder="1" applyAlignment="1" applyProtection="1">
      <alignment/>
      <protection/>
    </xf>
    <xf numFmtId="37" fontId="8" fillId="0" borderId="0" xfId="0" applyNumberFormat="1" applyFont="1" applyFill="1" applyBorder="1" applyAlignment="1" applyProtection="1" quotePrefix="1">
      <alignment/>
      <protection/>
    </xf>
    <xf numFmtId="37" fontId="12" fillId="0" borderId="99" xfId="0" applyNumberFormat="1" applyFont="1" applyFill="1" applyBorder="1" applyAlignment="1" applyProtection="1">
      <alignment horizontal="right"/>
      <protection/>
    </xf>
    <xf numFmtId="0" fontId="0" fillId="0" borderId="100" xfId="0" applyFill="1" applyBorder="1" applyAlignment="1" applyProtection="1">
      <alignment horizontal="right"/>
      <protection/>
    </xf>
    <xf numFmtId="37" fontId="8" fillId="0" borderId="99" xfId="0" applyNumberFormat="1" applyFont="1" applyFill="1" applyBorder="1" applyAlignment="1" applyProtection="1">
      <alignment horizontal="right"/>
      <protection/>
    </xf>
    <xf numFmtId="37" fontId="8" fillId="0" borderId="100" xfId="0" applyNumberFormat="1" applyFont="1" applyFill="1" applyBorder="1" applyAlignment="1" applyProtection="1">
      <alignment horizontal="right"/>
      <protection/>
    </xf>
    <xf numFmtId="0" fontId="8" fillId="0" borderId="0" xfId="63" applyNumberFormat="1" applyFont="1" applyFill="1" applyAlignment="1" applyProtection="1">
      <alignment horizontal="left" vertical="top" wrapText="1"/>
      <protection/>
    </xf>
    <xf numFmtId="0" fontId="8" fillId="0" borderId="0" xfId="66" applyNumberFormat="1" applyFont="1" applyFill="1" applyAlignment="1" applyProtection="1">
      <alignment horizontal="left" vertical="top" wrapText="1"/>
      <protection/>
    </xf>
    <xf numFmtId="37" fontId="12" fillId="0" borderId="0" xfId="63" applyNumberFormat="1" applyFont="1" applyFill="1" applyAlignment="1" applyProtection="1">
      <alignment horizontal="left" vertical="top"/>
      <protection/>
    </xf>
    <xf numFmtId="37" fontId="12" fillId="33" borderId="0" xfId="63" applyNumberFormat="1" applyFont="1" applyFill="1" applyAlignment="1" applyProtection="1">
      <alignment horizontal="left" wrapText="1"/>
      <protection/>
    </xf>
    <xf numFmtId="0" fontId="8" fillId="0" borderId="38" xfId="66" applyNumberFormat="1" applyFont="1" applyFill="1" applyBorder="1" applyAlignment="1" applyProtection="1">
      <alignment horizontal="left" vertical="top" wrapText="1"/>
      <protection locked="0"/>
    </xf>
    <xf numFmtId="0" fontId="25" fillId="0" borderId="0" xfId="0" applyFont="1" applyBorder="1" applyAlignment="1" applyProtection="1">
      <alignment/>
      <protection/>
    </xf>
    <xf numFmtId="0" fontId="8" fillId="0" borderId="38" xfId="66" applyNumberFormat="1" applyFont="1" applyFill="1" applyBorder="1" applyAlignment="1" applyProtection="1">
      <alignment horizontal="left" vertical="top"/>
      <protection locked="0"/>
    </xf>
    <xf numFmtId="37" fontId="12" fillId="0" borderId="0" xfId="63" applyNumberFormat="1" applyFont="1" applyFill="1" applyBorder="1" applyAlignment="1" applyProtection="1">
      <alignment/>
      <protection/>
    </xf>
    <xf numFmtId="0" fontId="0" fillId="0" borderId="77" xfId="0" applyFill="1" applyBorder="1" applyAlignment="1">
      <alignment/>
    </xf>
    <xf numFmtId="0" fontId="12" fillId="0" borderId="0" xfId="63" applyNumberFormat="1" applyFont="1" applyFill="1" applyAlignment="1" applyProtection="1">
      <alignment horizontal="left" vertical="top" wrapText="1"/>
      <protection/>
    </xf>
    <xf numFmtId="37" fontId="8" fillId="33" borderId="0" xfId="63" applyNumberFormat="1" applyFont="1" applyBorder="1" applyAlignment="1" applyProtection="1">
      <alignment/>
      <protection/>
    </xf>
    <xf numFmtId="37" fontId="8" fillId="0" borderId="0" xfId="0" applyNumberFormat="1" applyFont="1" applyBorder="1" applyAlignment="1">
      <alignment/>
    </xf>
    <xf numFmtId="37" fontId="12" fillId="0" borderId="0" xfId="63" applyNumberFormat="1" applyFont="1" applyFill="1" applyAlignment="1" applyProtection="1">
      <alignment horizontal="left" vertical="top" wrapText="1"/>
      <protection/>
    </xf>
    <xf numFmtId="37" fontId="8" fillId="0" borderId="10" xfId="63" applyNumberFormat="1" applyFont="1" applyFill="1" applyBorder="1" applyAlignment="1" applyProtection="1">
      <alignment/>
      <protection/>
    </xf>
    <xf numFmtId="37" fontId="8" fillId="0" borderId="77" xfId="0" applyNumberFormat="1" applyFont="1" applyFill="1" applyBorder="1" applyAlignment="1">
      <alignment/>
    </xf>
    <xf numFmtId="37" fontId="12" fillId="33" borderId="24" xfId="63" applyNumberFormat="1" applyFont="1" applyFill="1" applyBorder="1" applyAlignment="1" applyProtection="1" quotePrefix="1">
      <alignment/>
      <protection/>
    </xf>
    <xf numFmtId="37" fontId="12" fillId="33" borderId="10" xfId="63" applyNumberFormat="1" applyFont="1" applyFill="1" applyBorder="1" applyAlignment="1" applyProtection="1" quotePrefix="1">
      <alignment/>
      <protection/>
    </xf>
    <xf numFmtId="37" fontId="12" fillId="33" borderId="10" xfId="63" applyNumberFormat="1" applyFont="1" applyFill="1" applyBorder="1" applyAlignment="1" applyProtection="1">
      <alignment horizontal="left"/>
      <protection/>
    </xf>
    <xf numFmtId="37" fontId="12" fillId="33" borderId="0" xfId="63" applyNumberFormat="1" applyFont="1" applyFill="1" applyProtection="1">
      <alignment/>
      <protection/>
    </xf>
    <xf numFmtId="37" fontId="22" fillId="0" borderId="0" xfId="63" applyNumberFormat="1" applyFont="1" applyFill="1" applyAlignment="1" applyProtection="1">
      <alignment horizontal="center" vertical="top" wrapText="1"/>
      <protection/>
    </xf>
    <xf numFmtId="0" fontId="0" fillId="0" borderId="0" xfId="0" applyFill="1" applyAlignment="1">
      <alignment horizontal="center" wrapText="1"/>
    </xf>
    <xf numFmtId="0" fontId="0" fillId="0" borderId="0" xfId="0" applyAlignment="1">
      <alignment wrapText="1"/>
    </xf>
    <xf numFmtId="37" fontId="12" fillId="33" borderId="0" xfId="63" applyNumberFormat="1" applyFont="1" applyFill="1" applyAlignment="1" applyProtection="1">
      <alignment horizontal="left" vertical="center" wrapText="1"/>
      <protection/>
    </xf>
    <xf numFmtId="37" fontId="4" fillId="0" borderId="0" xfId="0" applyNumberFormat="1" applyFont="1" applyFill="1" applyBorder="1" applyAlignment="1" applyProtection="1">
      <alignment horizontal="right"/>
      <protection/>
    </xf>
    <xf numFmtId="49" fontId="24" fillId="0" borderId="0" xfId="63" applyNumberFormat="1" applyFont="1" applyFill="1" applyAlignment="1" applyProtection="1">
      <alignment horizontal="left" vertical="top" wrapText="1"/>
      <protection/>
    </xf>
    <xf numFmtId="49" fontId="24" fillId="0" borderId="31" xfId="63" applyNumberFormat="1" applyFont="1" applyFill="1" applyBorder="1" applyAlignment="1" applyProtection="1">
      <alignment horizontal="left" vertical="top" wrapText="1"/>
      <protection/>
    </xf>
    <xf numFmtId="0" fontId="4" fillId="0" borderId="0" xfId="0" applyFont="1" applyAlignment="1" applyProtection="1">
      <alignment horizontal="left"/>
      <protection/>
    </xf>
    <xf numFmtId="49" fontId="24" fillId="0" borderId="0" xfId="63" applyNumberFormat="1" applyFont="1" applyFill="1" applyAlignment="1" applyProtection="1">
      <alignment horizontal="left"/>
      <protection/>
    </xf>
    <xf numFmtId="0" fontId="30" fillId="0" borderId="0" xfId="63" applyNumberFormat="1" applyFont="1" applyFill="1" applyAlignment="1" applyProtection="1">
      <alignment horizontal="center" wrapText="1"/>
      <protection/>
    </xf>
    <xf numFmtId="0" fontId="2" fillId="0" borderId="0" xfId="0" applyFont="1" applyFill="1" applyAlignment="1">
      <alignment horizontal="center" wrapText="1"/>
    </xf>
    <xf numFmtId="37" fontId="4" fillId="0" borderId="0" xfId="0" applyNumberFormat="1" applyFont="1" applyAlignment="1" applyProtection="1">
      <alignment horizontal="right"/>
      <protection/>
    </xf>
    <xf numFmtId="37" fontId="4" fillId="0" borderId="38" xfId="0" applyNumberFormat="1" applyFont="1" applyBorder="1" applyAlignment="1" applyProtection="1">
      <alignment horizontal="right"/>
      <protection/>
    </xf>
    <xf numFmtId="0" fontId="4" fillId="0" borderId="0" xfId="0" applyFont="1" applyFill="1" applyAlignment="1" applyProtection="1">
      <alignment horizontal="left"/>
      <protection/>
    </xf>
    <xf numFmtId="49" fontId="4" fillId="0" borderId="0" xfId="55" applyNumberFormat="1" applyFont="1" applyFill="1" applyAlignment="1" applyProtection="1">
      <alignment horizontal="left"/>
      <protection/>
    </xf>
    <xf numFmtId="0" fontId="9" fillId="0" borderId="0" xfId="63" applyNumberFormat="1" applyFont="1" applyFill="1" applyAlignment="1" applyProtection="1">
      <alignment horizontal="center" vertical="center"/>
      <protection/>
    </xf>
    <xf numFmtId="0" fontId="4" fillId="0" borderId="38" xfId="63" applyNumberFormat="1" applyFont="1" applyFill="1" applyBorder="1" applyAlignment="1" applyProtection="1">
      <alignment horizontal="left"/>
      <protection locked="0"/>
    </xf>
    <xf numFmtId="37" fontId="4" fillId="0" borderId="29" xfId="0" applyNumberFormat="1" applyFont="1" applyBorder="1" applyAlignment="1" applyProtection="1">
      <alignment horizontal="right"/>
      <protection/>
    </xf>
    <xf numFmtId="0" fontId="2" fillId="0" borderId="38" xfId="0" applyFont="1" applyBorder="1" applyAlignment="1" applyProtection="1">
      <alignment horizontal="right"/>
      <protection/>
    </xf>
    <xf numFmtId="49" fontId="24" fillId="0" borderId="0" xfId="63" applyNumberFormat="1" applyFont="1" applyFill="1" applyAlignment="1" applyProtection="1">
      <alignment horizontal="left" vertical="top"/>
      <protection/>
    </xf>
    <xf numFmtId="49" fontId="24" fillId="0" borderId="31" xfId="63" applyNumberFormat="1" applyFont="1" applyFill="1" applyBorder="1" applyAlignment="1" applyProtection="1">
      <alignment horizontal="left" vertical="top"/>
      <protection/>
    </xf>
    <xf numFmtId="49" fontId="4" fillId="34" borderId="0" xfId="55" applyNumberFormat="1" applyFont="1" applyFill="1" applyAlignment="1" applyProtection="1">
      <alignment horizontal="left" vertical="top" wrapText="1"/>
      <protection/>
    </xf>
    <xf numFmtId="49" fontId="4" fillId="34" borderId="31" xfId="55" applyNumberFormat="1" applyFont="1" applyFill="1" applyBorder="1" applyAlignment="1" applyProtection="1">
      <alignment horizontal="left" vertical="top" wrapText="1"/>
      <protection/>
    </xf>
    <xf numFmtId="49" fontId="4" fillId="0" borderId="0" xfId="55" applyNumberFormat="1" applyFont="1" applyFill="1" applyAlignment="1" applyProtection="1" quotePrefix="1">
      <alignment horizontal="left"/>
      <protection/>
    </xf>
    <xf numFmtId="49" fontId="4" fillId="0" borderId="0" xfId="55" applyNumberFormat="1" applyFont="1" applyFill="1" applyAlignment="1" applyProtection="1">
      <alignment horizontal="left" vertical="top" wrapText="1"/>
      <protection/>
    </xf>
    <xf numFmtId="49" fontId="4" fillId="0" borderId="31" xfId="55" applyNumberFormat="1"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4" fillId="0" borderId="31" xfId="0" applyFont="1" applyFill="1" applyBorder="1" applyAlignment="1" applyProtection="1">
      <alignment horizontal="left" vertical="top" wrapText="1"/>
      <protection/>
    </xf>
    <xf numFmtId="0" fontId="4" fillId="33" borderId="0" xfId="63" applyNumberFormat="1" applyFont="1" applyAlignment="1" applyProtection="1">
      <alignment horizontal="left" wrapText="1"/>
      <protection/>
    </xf>
    <xf numFmtId="0" fontId="4" fillId="0" borderId="0" xfId="0" applyNumberFormat="1" applyFont="1" applyFill="1" applyBorder="1" applyAlignment="1" applyProtection="1">
      <alignment vertical="top" wrapText="1"/>
      <protection/>
    </xf>
    <xf numFmtId="0" fontId="0" fillId="0" borderId="0" xfId="0" applyFill="1" applyBorder="1" applyAlignment="1">
      <alignment wrapText="1"/>
    </xf>
    <xf numFmtId="37" fontId="4" fillId="0" borderId="25" xfId="42" applyNumberFormat="1" applyFont="1" applyFill="1" applyBorder="1" applyAlignment="1" applyProtection="1">
      <alignment horizontal="right"/>
      <protection locked="0"/>
    </xf>
    <xf numFmtId="0" fontId="0" fillId="0" borderId="73" xfId="0" applyFill="1" applyBorder="1" applyAlignment="1" applyProtection="1">
      <alignment/>
      <protection locked="0"/>
    </xf>
    <xf numFmtId="37" fontId="4" fillId="0" borderId="25" xfId="42" applyNumberFormat="1" applyFont="1" applyFill="1" applyBorder="1" applyAlignment="1" applyProtection="1">
      <alignment horizontal="right"/>
      <protection/>
    </xf>
    <xf numFmtId="37" fontId="4" fillId="0" borderId="73" xfId="42" applyNumberFormat="1" applyFont="1" applyFill="1" applyBorder="1" applyAlignment="1" applyProtection="1">
      <alignment horizontal="right"/>
      <protection/>
    </xf>
    <xf numFmtId="0" fontId="4" fillId="0" borderId="0" xfId="0" applyFont="1" applyFill="1" applyBorder="1" applyAlignment="1" applyProtection="1">
      <alignment vertical="top" wrapText="1"/>
      <protection/>
    </xf>
    <xf numFmtId="0" fontId="0" fillId="0" borderId="0" xfId="0" applyFill="1" applyBorder="1" applyAlignment="1">
      <alignment vertical="top" wrapText="1"/>
    </xf>
    <xf numFmtId="37" fontId="4" fillId="0" borderId="79" xfId="42" applyNumberFormat="1" applyFont="1" applyFill="1" applyBorder="1" applyAlignment="1" applyProtection="1">
      <alignment horizontal="right"/>
      <protection/>
    </xf>
    <xf numFmtId="37" fontId="4" fillId="0" borderId="101" xfId="42" applyNumberFormat="1" applyFont="1" applyFill="1" applyBorder="1" applyAlignment="1" applyProtection="1">
      <alignment horizontal="right"/>
      <protection/>
    </xf>
    <xf numFmtId="0" fontId="0" fillId="0" borderId="101" xfId="0" applyFill="1" applyBorder="1" applyAlignment="1">
      <alignment/>
    </xf>
    <xf numFmtId="0" fontId="9" fillId="0" borderId="25" xfId="0" applyFont="1" applyFill="1" applyBorder="1" applyAlignment="1" applyProtection="1">
      <alignment horizontal="center" wrapText="1"/>
      <protection/>
    </xf>
    <xf numFmtId="0" fontId="9" fillId="0" borderId="73" xfId="0" applyFont="1" applyFill="1" applyBorder="1" applyAlignment="1" applyProtection="1">
      <alignment horizontal="center" wrapText="1"/>
      <protection/>
    </xf>
    <xf numFmtId="0" fontId="4" fillId="0" borderId="0" xfId="63" applyNumberFormat="1" applyFont="1" applyFill="1" applyBorder="1" applyAlignment="1" applyProtection="1">
      <alignment vertical="top" wrapText="1"/>
      <protection/>
    </xf>
    <xf numFmtId="0" fontId="0" fillId="0" borderId="73" xfId="0" applyFill="1" applyBorder="1" applyAlignment="1">
      <alignment horizontal="right"/>
    </xf>
    <xf numFmtId="39" fontId="4" fillId="0" borderId="25" xfId="42" applyNumberFormat="1" applyFont="1" applyFill="1" applyBorder="1" applyAlignment="1" applyProtection="1">
      <alignment horizontal="right"/>
      <protection/>
    </xf>
    <xf numFmtId="39" fontId="0" fillId="0" borderId="73" xfId="0" applyNumberFormat="1" applyFill="1" applyBorder="1" applyAlignment="1">
      <alignment/>
    </xf>
    <xf numFmtId="37" fontId="9" fillId="0" borderId="25" xfId="42" applyNumberFormat="1" applyFont="1" applyFill="1" applyBorder="1" applyAlignment="1" applyProtection="1">
      <alignment horizontal="right"/>
      <protection locked="0"/>
    </xf>
    <xf numFmtId="0" fontId="0" fillId="0" borderId="73" xfId="0" applyFill="1" applyBorder="1" applyAlignment="1">
      <alignment/>
    </xf>
    <xf numFmtId="0" fontId="8" fillId="0" borderId="0" xfId="0" applyFont="1" applyBorder="1" applyAlignment="1" applyProtection="1">
      <alignment horizontal="right"/>
      <protection/>
    </xf>
    <xf numFmtId="0" fontId="8" fillId="0" borderId="0" xfId="0" applyFont="1" applyBorder="1" applyAlignment="1" applyProtection="1">
      <alignment horizontal="left"/>
      <protection/>
    </xf>
    <xf numFmtId="0" fontId="9" fillId="0" borderId="25" xfId="0" applyFont="1" applyFill="1" applyBorder="1" applyAlignment="1" applyProtection="1">
      <alignment horizontal="center"/>
      <protection/>
    </xf>
    <xf numFmtId="0" fontId="8" fillId="0" borderId="0" xfId="63" applyNumberFormat="1" applyFont="1" applyFill="1" applyBorder="1" applyAlignment="1" applyProtection="1">
      <alignment horizontal="left"/>
      <protection/>
    </xf>
    <xf numFmtId="0" fontId="8" fillId="0" borderId="0" xfId="63" applyNumberFormat="1" applyFont="1" applyFill="1" applyBorder="1" applyAlignment="1" applyProtection="1">
      <alignment wrapText="1"/>
      <protection/>
    </xf>
    <xf numFmtId="0" fontId="8" fillId="0" borderId="0" xfId="0" applyFont="1" applyFill="1" applyBorder="1" applyAlignment="1" applyProtection="1">
      <alignment wrapText="1"/>
      <protection/>
    </xf>
    <xf numFmtId="39" fontId="4" fillId="0" borderId="25" xfId="42" applyNumberFormat="1" applyFont="1" applyFill="1" applyBorder="1" applyAlignment="1" applyProtection="1">
      <alignment horizontal="right"/>
      <protection locked="0"/>
    </xf>
    <xf numFmtId="39" fontId="4" fillId="0" borderId="73" xfId="42" applyNumberFormat="1" applyFont="1" applyFill="1" applyBorder="1" applyAlignment="1" applyProtection="1">
      <alignment horizontal="right"/>
      <protection locked="0"/>
    </xf>
    <xf numFmtId="3" fontId="8" fillId="38" borderId="13" xfId="0" applyNumberFormat="1" applyFont="1" applyFill="1" applyBorder="1" applyAlignment="1" applyProtection="1">
      <alignment horizontal="right"/>
      <protection/>
    </xf>
    <xf numFmtId="3" fontId="0" fillId="35" borderId="20" xfId="0" applyNumberFormat="1" applyFill="1" applyBorder="1" applyAlignment="1" applyProtection="1">
      <alignment horizontal="right"/>
      <protection/>
    </xf>
    <xf numFmtId="3" fontId="0" fillId="0" borderId="20" xfId="0" applyNumberFormat="1" applyFill="1" applyBorder="1" applyAlignment="1" applyProtection="1">
      <alignment horizontal="right"/>
      <protection/>
    </xf>
    <xf numFmtId="4" fontId="8" fillId="0" borderId="13" xfId="0" applyNumberFormat="1" applyFont="1" applyFill="1" applyBorder="1" applyAlignment="1" applyProtection="1">
      <alignment/>
      <protection/>
    </xf>
    <xf numFmtId="0" fontId="8" fillId="0" borderId="20" xfId="0" applyFont="1" applyFill="1" applyBorder="1" applyAlignment="1" applyProtection="1">
      <alignment/>
      <protection/>
    </xf>
    <xf numFmtId="0" fontId="9" fillId="0" borderId="14" xfId="0" applyFont="1" applyBorder="1" applyAlignment="1">
      <alignment/>
    </xf>
    <xf numFmtId="0" fontId="9" fillId="0" borderId="0" xfId="0" applyFont="1" applyBorder="1" applyAlignment="1">
      <alignment/>
    </xf>
    <xf numFmtId="0" fontId="10" fillId="0" borderId="11" xfId="0" applyFont="1" applyBorder="1" applyAlignment="1">
      <alignment/>
    </xf>
    <xf numFmtId="0" fontId="10" fillId="0" borderId="24" xfId="0" applyFont="1" applyBorder="1" applyAlignment="1">
      <alignment/>
    </xf>
    <xf numFmtId="0" fontId="8" fillId="0" borderId="20" xfId="0" applyFont="1" applyFill="1" applyBorder="1" applyAlignment="1" applyProtection="1">
      <alignment horizontal="right"/>
      <protection/>
    </xf>
    <xf numFmtId="165" fontId="8" fillId="0" borderId="13" xfId="0" applyNumberFormat="1" applyFont="1" applyFill="1" applyBorder="1" applyAlignment="1" applyProtection="1">
      <alignment/>
      <protection/>
    </xf>
    <xf numFmtId="165" fontId="0" fillId="0" borderId="20" xfId="0" applyNumberFormat="1" applyFill="1" applyBorder="1" applyAlignment="1" applyProtection="1">
      <alignment/>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0" fillId="0" borderId="10" xfId="0" applyBorder="1" applyAlignment="1">
      <alignment horizontal="left"/>
    </xf>
    <xf numFmtId="165" fontId="8" fillId="36" borderId="13" xfId="0" applyNumberFormat="1" applyFont="1" applyFill="1" applyBorder="1" applyAlignment="1" applyProtection="1">
      <alignment/>
      <protection/>
    </xf>
    <xf numFmtId="165" fontId="0" fillId="33" borderId="20" xfId="0" applyNumberFormat="1" applyFill="1" applyBorder="1" applyAlignment="1" applyProtection="1">
      <alignment/>
      <protection/>
    </xf>
    <xf numFmtId="0" fontId="15" fillId="0" borderId="0" xfId="64" applyNumberFormat="1" applyFont="1" applyFill="1" applyAlignment="1" applyProtection="1">
      <alignment horizontal="left"/>
      <protection/>
    </xf>
    <xf numFmtId="0" fontId="15" fillId="0" borderId="38" xfId="64" applyNumberFormat="1" applyFont="1" applyFill="1" applyBorder="1" applyAlignment="1" applyProtection="1">
      <alignment horizontal="center"/>
      <protection locked="0"/>
    </xf>
    <xf numFmtId="0" fontId="0" fillId="0" borderId="38" xfId="0" applyFill="1" applyBorder="1" applyAlignment="1" applyProtection="1">
      <alignment horizontal="center"/>
      <protection locked="0"/>
    </xf>
    <xf numFmtId="0" fontId="15" fillId="0" borderId="0" xfId="0" applyFont="1" applyAlignment="1" applyProtection="1">
      <alignment/>
      <protection/>
    </xf>
    <xf numFmtId="0" fontId="0" fillId="0" borderId="0" xfId="0" applyAlignment="1">
      <alignment/>
    </xf>
    <xf numFmtId="0" fontId="6" fillId="33" borderId="38" xfId="64" applyNumberFormat="1" applyFont="1" applyBorder="1" applyAlignment="1" applyProtection="1">
      <alignment horizontal="center"/>
      <protection/>
    </xf>
    <xf numFmtId="0" fontId="15" fillId="0" borderId="38" xfId="0" applyFont="1" applyFill="1" applyBorder="1" applyAlignment="1" applyProtection="1">
      <alignment horizontal="center"/>
      <protection locked="0"/>
    </xf>
    <xf numFmtId="37" fontId="14" fillId="0" borderId="13" xfId="64" applyNumberFormat="1" applyFont="1" applyFill="1" applyBorder="1" applyAlignment="1" applyProtection="1">
      <alignment/>
      <protection/>
    </xf>
    <xf numFmtId="0" fontId="0" fillId="0" borderId="20" xfId="0" applyFill="1" applyBorder="1" applyAlignment="1" applyProtection="1">
      <alignment/>
      <protection/>
    </xf>
    <xf numFmtId="169" fontId="14" fillId="33" borderId="49" xfId="64" applyNumberFormat="1" applyFont="1" applyFill="1" applyBorder="1" applyAlignment="1" applyProtection="1">
      <alignment/>
      <protection/>
    </xf>
    <xf numFmtId="169" fontId="14" fillId="33" borderId="20" xfId="64" applyNumberFormat="1" applyFont="1" applyFill="1" applyBorder="1" applyAlignment="1" applyProtection="1">
      <alignment/>
      <protection/>
    </xf>
    <xf numFmtId="169" fontId="14" fillId="33" borderId="13" xfId="64" applyNumberFormat="1" applyFont="1" applyFill="1" applyBorder="1" applyAlignment="1" applyProtection="1">
      <alignment/>
      <protection/>
    </xf>
    <xf numFmtId="169" fontId="14" fillId="33" borderId="18" xfId="64" applyNumberFormat="1" applyFont="1" applyFill="1" applyBorder="1" applyAlignment="1" applyProtection="1">
      <alignment/>
      <protection/>
    </xf>
    <xf numFmtId="165" fontId="14" fillId="33" borderId="13" xfId="64" applyNumberFormat="1" applyFont="1" applyFill="1" applyBorder="1" applyAlignment="1" applyProtection="1">
      <alignment horizontal="right"/>
      <protection/>
    </xf>
    <xf numFmtId="165" fontId="0" fillId="33" borderId="20" xfId="0" applyNumberFormat="1" applyFont="1" applyFill="1" applyBorder="1" applyAlignment="1" applyProtection="1">
      <alignment horizontal="right"/>
      <protection/>
    </xf>
    <xf numFmtId="169" fontId="14" fillId="33" borderId="88" xfId="64" applyNumberFormat="1" applyFont="1" applyFill="1" applyBorder="1" applyAlignment="1" applyProtection="1">
      <alignment/>
      <protection/>
    </xf>
    <xf numFmtId="0" fontId="6" fillId="33" borderId="24" xfId="64" applyNumberFormat="1" applyFont="1" applyBorder="1" applyAlignment="1" applyProtection="1">
      <alignment horizontal="left" vertical="top" wrapText="1"/>
      <protection/>
    </xf>
    <xf numFmtId="0" fontId="6" fillId="33" borderId="0" xfId="64" applyNumberFormat="1" applyFont="1" applyBorder="1" applyAlignment="1" applyProtection="1">
      <alignment horizontal="left" vertical="top" wrapText="1"/>
      <protection/>
    </xf>
    <xf numFmtId="37" fontId="109" fillId="33" borderId="24" xfId="64" applyNumberFormat="1" applyFont="1" applyFill="1" applyBorder="1" applyAlignment="1" applyProtection="1">
      <alignment horizontal="center" vertical="top" wrapText="1"/>
      <protection/>
    </xf>
    <xf numFmtId="37" fontId="109" fillId="33" borderId="12" xfId="64" applyNumberFormat="1" applyFont="1" applyFill="1" applyBorder="1" applyAlignment="1" applyProtection="1">
      <alignment horizontal="center" vertical="top" wrapText="1"/>
      <protection/>
    </xf>
    <xf numFmtId="37" fontId="109" fillId="33" borderId="0" xfId="64" applyNumberFormat="1" applyFont="1" applyFill="1" applyBorder="1" applyAlignment="1" applyProtection="1">
      <alignment horizontal="center" vertical="top" wrapText="1"/>
      <protection/>
    </xf>
    <xf numFmtId="37" fontId="109" fillId="33" borderId="15" xfId="64" applyNumberFormat="1" applyFont="1" applyFill="1" applyBorder="1" applyAlignment="1" applyProtection="1">
      <alignment horizontal="center" vertical="top" wrapText="1"/>
      <protection/>
    </xf>
    <xf numFmtId="37" fontId="13" fillId="33" borderId="29" xfId="64" applyNumberFormat="1" applyFont="1" applyFill="1" applyBorder="1" applyAlignment="1" applyProtection="1">
      <alignment horizontal="center"/>
      <protection/>
    </xf>
    <xf numFmtId="37" fontId="13" fillId="33" borderId="18" xfId="64" applyNumberFormat="1" applyFont="1" applyFill="1" applyBorder="1" applyAlignment="1" applyProtection="1">
      <alignment horizontal="center" vertical="center"/>
      <protection/>
    </xf>
    <xf numFmtId="37" fontId="13" fillId="33" borderId="20" xfId="64" applyNumberFormat="1" applyFont="1" applyFill="1" applyBorder="1" applyAlignment="1" applyProtection="1">
      <alignment horizontal="center" vertical="center"/>
      <protection/>
    </xf>
    <xf numFmtId="37" fontId="14" fillId="33" borderId="13" xfId="64" applyNumberFormat="1" applyFont="1" applyFill="1" applyBorder="1" applyAlignment="1" applyProtection="1">
      <alignment/>
      <protection/>
    </xf>
    <xf numFmtId="0" fontId="0" fillId="33" borderId="20" xfId="0" applyFont="1" applyFill="1" applyBorder="1" applyAlignment="1" applyProtection="1">
      <alignment/>
      <protection/>
    </xf>
    <xf numFmtId="0" fontId="15" fillId="0" borderId="0" xfId="0" applyFont="1" applyAlignment="1" applyProtection="1">
      <alignment horizontal="center"/>
      <protection/>
    </xf>
    <xf numFmtId="0" fontId="0" fillId="0" borderId="0" xfId="0" applyAlignment="1" applyProtection="1">
      <alignment horizontal="center"/>
      <protection/>
    </xf>
    <xf numFmtId="37" fontId="14" fillId="33" borderId="13" xfId="64" applyNumberFormat="1" applyFont="1" applyFill="1" applyBorder="1" applyAlignment="1" applyProtection="1">
      <alignment/>
      <protection/>
    </xf>
    <xf numFmtId="37" fontId="14" fillId="33" borderId="20" xfId="64" applyNumberFormat="1" applyFont="1" applyFill="1" applyBorder="1" applyAlignment="1" applyProtection="1">
      <alignment/>
      <protection/>
    </xf>
    <xf numFmtId="37" fontId="6" fillId="0" borderId="13" xfId="64" applyNumberFormat="1" applyFont="1" applyFill="1" applyBorder="1" applyAlignment="1" applyProtection="1">
      <alignment/>
      <protection/>
    </xf>
    <xf numFmtId="37" fontId="6" fillId="0" borderId="20" xfId="64" applyNumberFormat="1" applyFont="1" applyFill="1" applyBorder="1" applyAlignment="1" applyProtection="1">
      <alignment/>
      <protection/>
    </xf>
    <xf numFmtId="37" fontId="14" fillId="33" borderId="20" xfId="64" applyNumberFormat="1" applyFont="1" applyFill="1" applyBorder="1" applyAlignment="1" applyProtection="1">
      <alignment/>
      <protection/>
    </xf>
    <xf numFmtId="165" fontId="14" fillId="33" borderId="20" xfId="64" applyNumberFormat="1" applyFont="1" applyFill="1" applyBorder="1" applyAlignment="1" applyProtection="1">
      <alignment horizontal="right"/>
      <protection/>
    </xf>
    <xf numFmtId="37" fontId="28" fillId="33" borderId="0" xfId="64" applyNumberFormat="1" applyFont="1" applyFill="1" applyBorder="1" applyAlignment="1" applyProtection="1">
      <alignment horizontal="left" vertical="center"/>
      <protection/>
    </xf>
    <xf numFmtId="37" fontId="28" fillId="33" borderId="38" xfId="64" applyNumberFormat="1" applyFont="1" applyFill="1" applyBorder="1" applyAlignment="1" applyProtection="1">
      <alignment horizontal="left" vertical="center"/>
      <protection/>
    </xf>
    <xf numFmtId="0" fontId="0" fillId="0" borderId="38" xfId="0" applyBorder="1" applyAlignment="1">
      <alignment/>
    </xf>
    <xf numFmtId="37" fontId="13" fillId="33" borderId="25" xfId="65" applyNumberFormat="1" applyFont="1" applyFill="1" applyBorder="1" applyAlignment="1" applyProtection="1">
      <alignment horizontal="center"/>
      <protection/>
    </xf>
    <xf numFmtId="0" fontId="0" fillId="0" borderId="43" xfId="0" applyBorder="1" applyAlignment="1" applyProtection="1">
      <alignment horizontal="center"/>
      <protection/>
    </xf>
    <xf numFmtId="0" fontId="0" fillId="0" borderId="73" xfId="0" applyBorder="1" applyAlignment="1" applyProtection="1">
      <alignment horizontal="center"/>
      <protection/>
    </xf>
    <xf numFmtId="0" fontId="6" fillId="0" borderId="14" xfId="0" applyFont="1" applyBorder="1" applyAlignment="1">
      <alignment/>
    </xf>
    <xf numFmtId="0" fontId="6" fillId="0" borderId="15" xfId="0" applyFont="1" applyBorder="1" applyAlignment="1">
      <alignment/>
    </xf>
    <xf numFmtId="165" fontId="14" fillId="0" borderId="63" xfId="65" applyNumberFormat="1" applyFont="1" applyFill="1" applyBorder="1" applyAlignment="1" applyProtection="1">
      <alignment horizontal="right"/>
      <protection/>
    </xf>
    <xf numFmtId="165" fontId="14" fillId="0" borderId="73" xfId="65" applyNumberFormat="1" applyFont="1" applyFill="1" applyBorder="1" applyAlignment="1" applyProtection="1">
      <alignment horizontal="right"/>
      <protection/>
    </xf>
    <xf numFmtId="37" fontId="13" fillId="33" borderId="19" xfId="65" applyNumberFormat="1" applyFont="1" applyFill="1" applyBorder="1" applyAlignment="1" applyProtection="1">
      <alignment horizontal="center"/>
      <protection/>
    </xf>
    <xf numFmtId="0" fontId="0" fillId="0" borderId="31" xfId="0" applyBorder="1" applyAlignment="1" applyProtection="1">
      <alignment/>
      <protection/>
    </xf>
    <xf numFmtId="0" fontId="110" fillId="0" borderId="19" xfId="65" applyNumberFormat="1" applyFont="1" applyFill="1" applyBorder="1" applyAlignment="1" applyProtection="1">
      <alignment horizontal="center" vertical="center" wrapText="1"/>
      <protection/>
    </xf>
    <xf numFmtId="0" fontId="110" fillId="0" borderId="0" xfId="65" applyNumberFormat="1" applyFont="1" applyFill="1" applyBorder="1" applyAlignment="1" applyProtection="1">
      <alignment horizontal="center" vertical="center" wrapText="1"/>
      <protection/>
    </xf>
    <xf numFmtId="37" fontId="13" fillId="33" borderId="32" xfId="65" applyNumberFormat="1" applyFont="1" applyFill="1" applyBorder="1" applyAlignment="1" applyProtection="1">
      <alignment horizontal="center"/>
      <protection/>
    </xf>
    <xf numFmtId="0" fontId="0" fillId="0" borderId="30" xfId="0" applyBorder="1" applyAlignment="1" applyProtection="1">
      <alignment/>
      <protection/>
    </xf>
    <xf numFmtId="37" fontId="13" fillId="33" borderId="15" xfId="65" applyNumberFormat="1" applyFont="1" applyFill="1" applyBorder="1" applyAlignment="1" applyProtection="1">
      <alignment horizontal="center"/>
      <protection/>
    </xf>
    <xf numFmtId="165" fontId="14" fillId="0" borderId="32" xfId="65" applyNumberFormat="1" applyFont="1" applyFill="1" applyBorder="1" applyAlignment="1" applyProtection="1">
      <alignment horizontal="right"/>
      <protection/>
    </xf>
    <xf numFmtId="0" fontId="0" fillId="0" borderId="30" xfId="0" applyFill="1" applyBorder="1" applyAlignment="1" applyProtection="1">
      <alignment/>
      <protection/>
    </xf>
    <xf numFmtId="0" fontId="15" fillId="33" borderId="11" xfId="65" applyNumberFormat="1" applyFont="1" applyBorder="1" applyAlignment="1" applyProtection="1">
      <alignment horizontal="center"/>
      <protection/>
    </xf>
    <xf numFmtId="0" fontId="15" fillId="33" borderId="24" xfId="65" applyNumberFormat="1" applyFont="1" applyBorder="1" applyAlignment="1" applyProtection="1">
      <alignment horizontal="center"/>
      <protection/>
    </xf>
    <xf numFmtId="0" fontId="15" fillId="33" borderId="102" xfId="65" applyNumberFormat="1" applyFont="1" applyBorder="1" applyAlignment="1" applyProtection="1">
      <alignment horizontal="center"/>
      <protection/>
    </xf>
    <xf numFmtId="0" fontId="6" fillId="0" borderId="45" xfId="0" applyFont="1" applyBorder="1" applyAlignment="1">
      <alignment/>
    </xf>
    <xf numFmtId="165" fontId="14" fillId="0" borderId="25" xfId="65" applyNumberFormat="1" applyFont="1" applyFill="1" applyBorder="1" applyAlignment="1" applyProtection="1">
      <alignment horizontal="right"/>
      <protection/>
    </xf>
    <xf numFmtId="0" fontId="0" fillId="0" borderId="73" xfId="0" applyFill="1" applyBorder="1" applyAlignment="1" applyProtection="1">
      <alignment/>
      <protection/>
    </xf>
    <xf numFmtId="0" fontId="6" fillId="0" borderId="0" xfId="65" applyNumberFormat="1" applyFont="1" applyFill="1" applyAlignment="1" applyProtection="1">
      <alignment horizontal="left" wrapText="1"/>
      <protection/>
    </xf>
    <xf numFmtId="0" fontId="6" fillId="0" borderId="38" xfId="65" applyNumberFormat="1" applyFont="1" applyFill="1" applyBorder="1" applyAlignment="1" applyProtection="1">
      <alignment horizontal="left" wrapText="1"/>
      <protection/>
    </xf>
    <xf numFmtId="49" fontId="6" fillId="33" borderId="38" xfId="65" applyNumberFormat="1" applyFont="1" applyBorder="1" applyAlignment="1" applyProtection="1">
      <alignment horizontal="center"/>
      <protection/>
    </xf>
    <xf numFmtId="0" fontId="6" fillId="33" borderId="38" xfId="65" applyNumberFormat="1" applyFont="1" applyBorder="1" applyAlignment="1" applyProtection="1">
      <alignment horizontal="center"/>
      <protection/>
    </xf>
    <xf numFmtId="37" fontId="13" fillId="33" borderId="40" xfId="65" applyNumberFormat="1" applyFont="1" applyFill="1" applyBorder="1" applyAlignment="1" applyProtection="1">
      <alignment horizontal="center"/>
      <protection/>
    </xf>
    <xf numFmtId="0" fontId="0" fillId="0" borderId="27" xfId="0" applyBorder="1" applyAlignment="1" applyProtection="1">
      <alignment/>
      <protection/>
    </xf>
    <xf numFmtId="37" fontId="13" fillId="33" borderId="0" xfId="65" applyNumberFormat="1" applyFont="1" applyFill="1" applyAlignment="1" applyProtection="1">
      <alignment horizontal="left"/>
      <protection/>
    </xf>
    <xf numFmtId="37" fontId="14" fillId="0" borderId="43" xfId="65" applyNumberFormat="1" applyFont="1" applyFill="1" applyBorder="1" applyAlignment="1" applyProtection="1">
      <alignment horizontal="center"/>
      <protection/>
    </xf>
    <xf numFmtId="0" fontId="0" fillId="0" borderId="43" xfId="0" applyFill="1" applyBorder="1" applyAlignment="1">
      <alignment horizontal="center"/>
    </xf>
    <xf numFmtId="165" fontId="14" fillId="0" borderId="14" xfId="65" applyNumberFormat="1" applyFont="1" applyFill="1" applyBorder="1" applyAlignment="1" applyProtection="1">
      <alignment horizontal="right"/>
      <protection/>
    </xf>
    <xf numFmtId="0" fontId="0" fillId="0" borderId="31" xfId="0" applyFill="1" applyBorder="1" applyAlignment="1" applyProtection="1">
      <alignment/>
      <protection/>
    </xf>
    <xf numFmtId="37" fontId="14" fillId="33" borderId="11" xfId="65" applyNumberFormat="1" applyFont="1" applyFill="1" applyBorder="1" applyAlignment="1" applyProtection="1">
      <alignment horizontal="center"/>
      <protection/>
    </xf>
    <xf numFmtId="0" fontId="0" fillId="0" borderId="16" xfId="0" applyBorder="1" applyAlignment="1" applyProtection="1">
      <alignment/>
      <protection/>
    </xf>
    <xf numFmtId="165" fontId="14" fillId="33" borderId="63" xfId="65" applyNumberFormat="1" applyFont="1" applyFill="1" applyBorder="1" applyAlignment="1" applyProtection="1">
      <alignment horizontal="right"/>
      <protection/>
    </xf>
    <xf numFmtId="165" fontId="14" fillId="33" borderId="73" xfId="65" applyNumberFormat="1" applyFont="1" applyFill="1" applyBorder="1" applyAlignment="1" applyProtection="1">
      <alignment horizontal="right"/>
      <protection/>
    </xf>
    <xf numFmtId="37" fontId="13" fillId="33" borderId="11" xfId="65" applyNumberFormat="1" applyFont="1" applyFill="1" applyBorder="1" applyAlignment="1" applyProtection="1">
      <alignment horizontal="center"/>
      <protection/>
    </xf>
    <xf numFmtId="0" fontId="0" fillId="0" borderId="12" xfId="0" applyBorder="1" applyAlignment="1">
      <alignment/>
    </xf>
    <xf numFmtId="0" fontId="8" fillId="0" borderId="0" xfId="0" applyFont="1" applyAlignment="1">
      <alignment horizontal="justify" vertical="top" wrapText="1"/>
    </xf>
    <xf numFmtId="0" fontId="0" fillId="0" borderId="0" xfId="0" applyAlignment="1">
      <alignment horizontal="justify" wrapText="1"/>
    </xf>
    <xf numFmtId="0" fontId="8" fillId="0" borderId="0" xfId="0" applyNumberFormat="1" applyFont="1" applyFill="1" applyAlignment="1">
      <alignment horizontal="justify" vertical="top" wrapText="1"/>
    </xf>
    <xf numFmtId="0" fontId="0" fillId="0" borderId="0" xfId="0" applyFill="1" applyAlignment="1">
      <alignment horizontal="justify" vertical="top" wrapText="1"/>
    </xf>
    <xf numFmtId="0" fontId="8" fillId="0" borderId="0" xfId="0" applyFont="1" applyAlignment="1">
      <alignment horizontal="left" wrapText="1"/>
    </xf>
    <xf numFmtId="0" fontId="8" fillId="0" borderId="0" xfId="0" applyFont="1" applyFill="1" applyAlignment="1">
      <alignment horizontal="left" vertical="top"/>
    </xf>
    <xf numFmtId="0" fontId="8" fillId="0" borderId="0" xfId="0" applyFont="1" applyFill="1" applyAlignment="1">
      <alignment horizontal="left" wrapText="1"/>
    </xf>
    <xf numFmtId="0" fontId="48" fillId="0" borderId="0" xfId="55" applyNumberFormat="1" applyFont="1" applyFill="1" applyAlignment="1" applyProtection="1">
      <alignment horizontal="center" wrapText="1"/>
      <protection/>
    </xf>
    <xf numFmtId="37" fontId="4" fillId="0" borderId="38" xfId="0" applyNumberFormat="1" applyFont="1" applyBorder="1" applyAlignment="1" applyProtection="1">
      <alignment horizontal="left"/>
      <protection/>
    </xf>
    <xf numFmtId="0" fontId="4" fillId="0" borderId="0" xfId="0" applyFont="1" applyAlignment="1">
      <alignment horizontal="right"/>
    </xf>
    <xf numFmtId="0" fontId="10" fillId="0" borderId="0" xfId="0" applyFont="1" applyAlignment="1">
      <alignment horizontal="center" wrapText="1"/>
    </xf>
    <xf numFmtId="0" fontId="8" fillId="0" borderId="0" xfId="0" applyFont="1" applyFill="1" applyAlignment="1">
      <alignment wrapText="1"/>
    </xf>
    <xf numFmtId="0" fontId="8" fillId="0" borderId="0" xfId="0" applyFont="1" applyAlignment="1">
      <alignment wrapText="1"/>
    </xf>
    <xf numFmtId="37" fontId="8" fillId="0" borderId="103" xfId="42" applyNumberFormat="1" applyFont="1" applyBorder="1" applyAlignment="1">
      <alignment horizontal="right"/>
    </xf>
    <xf numFmtId="37" fontId="8" fillId="0" borderId="77" xfId="42" applyNumberFormat="1" applyFont="1" applyBorder="1" applyAlignment="1">
      <alignment horizontal="righ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Followed Hyperlink 3"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3" xfId="62"/>
    <cellStyle name="Normal_98-99Smry" xfId="63"/>
    <cellStyle name="Normal_Summary Page 1" xfId="64"/>
    <cellStyle name="Normal_Summary Page 2" xfId="65"/>
    <cellStyle name="Normal_Worksheet N"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overGen" /></Relationships>
</file>

<file path=xl/drawings/_rels/drawing10.xml.rels><?xml version="1.0" encoding="utf-8" standalone="yes"?><Relationships xmlns="http://schemas.openxmlformats.org/package/2006/relationships"><Relationship Id="rId1" Type="http://schemas.openxmlformats.org/officeDocument/2006/relationships/hyperlink" Target="#Suppl_ELL" /></Relationships>
</file>

<file path=xl/drawings/_rels/drawing11.xml.rels><?xml version="1.0" encoding="utf-8" standalone="yes"?><Relationships xmlns="http://schemas.openxmlformats.org/package/2006/relationships"><Relationship Id="rId1" Type="http://schemas.openxmlformats.org/officeDocument/2006/relationships/hyperlink" Target="#TruthinTax" /></Relationships>
</file>

<file path=xl/drawings/_rels/drawing2.xml.rels><?xml version="1.0" encoding="utf-8" standalone="yes"?><Relationships xmlns="http://schemas.openxmlformats.org/package/2006/relationships"><Relationship Id="rId1" Type="http://schemas.openxmlformats.org/officeDocument/2006/relationships/hyperlink" Target="#Page1l4" /></Relationships>
</file>

<file path=xl/drawings/_rels/drawing3.xml.rels><?xml version="1.0" encoding="utf-8" standalone="yes"?><Relationships xmlns="http://schemas.openxmlformats.org/package/2006/relationships"><Relationship Id="rId1" Type="http://schemas.openxmlformats.org/officeDocument/2006/relationships/hyperlink" Target="#Page2n1" /></Relationships>
</file>

<file path=xl/drawings/_rels/drawing4.xml.rels><?xml version="1.0" encoding="utf-8" standalone="yes"?><Relationships xmlns="http://schemas.openxmlformats.org/package/2006/relationships"><Relationship Id="rId1" Type="http://schemas.openxmlformats.org/officeDocument/2006/relationships/hyperlink" Target="#Page3Gen" /></Relationships>
</file>

<file path=xl/drawings/_rels/drawing5.xml.rels><?xml version="1.0" encoding="utf-8" standalone="yes"?><Relationships xmlns="http://schemas.openxmlformats.org/package/2006/relationships"><Relationship Id="rId1" Type="http://schemas.openxmlformats.org/officeDocument/2006/relationships/hyperlink" Target="#Page4L10" /></Relationships>
</file>

<file path=xl/drawings/_rels/drawing6.xml.rels><?xml version="1.0" encoding="utf-8" standalone="yes"?><Relationships xmlns="http://schemas.openxmlformats.org/package/2006/relationships"><Relationship Id="rId1" Type="http://schemas.openxmlformats.org/officeDocument/2006/relationships/hyperlink" Target="#Page5SelectExp" /></Relationships>
</file>

<file path=xl/drawings/_rels/drawing7.xml.rels><?xml version="1.0" encoding="utf-8" standalone="yes"?><Relationships xmlns="http://schemas.openxmlformats.org/package/2006/relationships"><Relationship Id="rId1" Type="http://schemas.openxmlformats.org/officeDocument/2006/relationships/hyperlink" Target="#Page6l16" /></Relationships>
</file>

<file path=xl/drawings/_rels/drawing8.xml.rels><?xml version="1.0" encoding="utf-8" standalone="yes"?><Relationships xmlns="http://schemas.openxmlformats.org/package/2006/relationships"><Relationship Id="rId1" Type="http://schemas.openxmlformats.org/officeDocument/2006/relationships/hyperlink" Target="#Page7Gen" /></Relationships>
</file>

<file path=xl/drawings/_rels/drawing9.xml.rels><?xml version="1.0" encoding="utf-8" standalone="yes"?><Relationships xmlns="http://schemas.openxmlformats.org/package/2006/relationships"><Relationship Id="rId1" Type="http://schemas.openxmlformats.org/officeDocument/2006/relationships/hyperlink" Target="#Page8lA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xdr:row>
      <xdr:rowOff>9525</xdr:rowOff>
    </xdr:from>
    <xdr:to>
      <xdr:col>1</xdr:col>
      <xdr:colOff>790575</xdr:colOff>
      <xdr:row>7</xdr:row>
      <xdr:rowOff>114300</xdr:rowOff>
    </xdr:to>
    <xdr:pic>
      <xdr:nvPicPr>
        <xdr:cNvPr id="1" name="Picture 1"/>
        <xdr:cNvPicPr preferRelativeResize="1">
          <a:picLocks noChangeAspect="1"/>
        </xdr:cNvPicPr>
      </xdr:nvPicPr>
      <xdr:blipFill>
        <a:blip r:embed="rId1"/>
        <a:stretch>
          <a:fillRect/>
        </a:stretch>
      </xdr:blipFill>
      <xdr:spPr>
        <a:xfrm>
          <a:off x="219075" y="361950"/>
          <a:ext cx="1152525" cy="1104900"/>
        </a:xfrm>
        <a:prstGeom prst="rect">
          <a:avLst/>
        </a:prstGeom>
        <a:noFill/>
        <a:ln w="9525" cmpd="sng">
          <a:noFill/>
        </a:ln>
      </xdr:spPr>
    </xdr:pic>
    <xdr:clientData/>
  </xdr:twoCellAnchor>
  <xdr:twoCellAnchor>
    <xdr:from>
      <xdr:col>6</xdr:col>
      <xdr:colOff>742950</xdr:colOff>
      <xdr:row>4</xdr:row>
      <xdr:rowOff>114300</xdr:rowOff>
    </xdr:from>
    <xdr:to>
      <xdr:col>7</xdr:col>
      <xdr:colOff>847725</xdr:colOff>
      <xdr:row>5</xdr:row>
      <xdr:rowOff>171450</xdr:rowOff>
    </xdr:to>
    <xdr:sp>
      <xdr:nvSpPr>
        <xdr:cNvPr id="2" name="TextBox 4">
          <a:hlinkClick r:id="rId2"/>
        </xdr:cNvPr>
        <xdr:cNvSpPr txBox="1">
          <a:spLocks noChangeArrowheads="1"/>
        </xdr:cNvSpPr>
      </xdr:nvSpPr>
      <xdr:spPr>
        <a:xfrm>
          <a:off x="4962525" y="866775"/>
          <a:ext cx="942975" cy="257175"/>
        </a:xfrm>
        <a:prstGeom prst="rect">
          <a:avLst/>
        </a:prstGeom>
        <a:solidFill>
          <a:srgbClr val="00B0F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Instructions</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1304925</xdr:colOff>
      <xdr:row>2</xdr:row>
      <xdr:rowOff>95250</xdr:rowOff>
    </xdr:from>
    <xdr:ext cx="1171575" cy="266700"/>
    <xdr:sp>
      <xdr:nvSpPr>
        <xdr:cNvPr id="1" name="TextBox 1">
          <a:hlinkClick r:id="rId1"/>
        </xdr:cNvPr>
        <xdr:cNvSpPr txBox="1">
          <a:spLocks noChangeArrowheads="1"/>
        </xdr:cNvSpPr>
      </xdr:nvSpPr>
      <xdr:spPr>
        <a:xfrm>
          <a:off x="2743200" y="781050"/>
          <a:ext cx="1171575" cy="266700"/>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133350</xdr:rowOff>
    </xdr:from>
    <xdr:to>
      <xdr:col>4</xdr:col>
      <xdr:colOff>0</xdr:colOff>
      <xdr:row>3</xdr:row>
      <xdr:rowOff>19050</xdr:rowOff>
    </xdr:to>
    <xdr:sp>
      <xdr:nvSpPr>
        <xdr:cNvPr id="1" name="TextBox 1">
          <a:hlinkClick r:id="rId1"/>
        </xdr:cNvPr>
        <xdr:cNvSpPr txBox="1">
          <a:spLocks noChangeArrowheads="1"/>
        </xdr:cNvSpPr>
      </xdr:nvSpPr>
      <xdr:spPr>
        <a:xfrm>
          <a:off x="247650" y="323850"/>
          <a:ext cx="1028700" cy="257175"/>
        </a:xfrm>
        <a:prstGeom prst="rect">
          <a:avLst/>
        </a:prstGeom>
        <a:solidFill>
          <a:srgbClr val="00B0F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3</xdr:row>
      <xdr:rowOff>9525</xdr:rowOff>
    </xdr:from>
    <xdr:ext cx="990600" cy="257175"/>
    <xdr:sp>
      <xdr:nvSpPr>
        <xdr:cNvPr id="1" name="TextBox 1">
          <a:hlinkClick r:id="rId1"/>
        </xdr:cNvPr>
        <xdr:cNvSpPr txBox="1">
          <a:spLocks noChangeArrowheads="1"/>
        </xdr:cNvSpPr>
      </xdr:nvSpPr>
      <xdr:spPr>
        <a:xfrm>
          <a:off x="1657350" y="561975"/>
          <a:ext cx="990600" cy="257175"/>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2</xdr:row>
      <xdr:rowOff>19050</xdr:rowOff>
    </xdr:from>
    <xdr:ext cx="914400" cy="276225"/>
    <xdr:sp>
      <xdr:nvSpPr>
        <xdr:cNvPr id="1" name="TextBox 1">
          <a:hlinkClick r:id="rId1"/>
        </xdr:cNvPr>
        <xdr:cNvSpPr txBox="1">
          <a:spLocks noChangeArrowheads="1"/>
        </xdr:cNvSpPr>
      </xdr:nvSpPr>
      <xdr:spPr>
        <a:xfrm>
          <a:off x="5724525" y="323850"/>
          <a:ext cx="914400" cy="276225"/>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1066800</xdr:colOff>
      <xdr:row>2</xdr:row>
      <xdr:rowOff>57150</xdr:rowOff>
    </xdr:from>
    <xdr:ext cx="885825" cy="419100"/>
    <xdr:sp>
      <xdr:nvSpPr>
        <xdr:cNvPr id="1" name="TextBox 1">
          <a:hlinkClick r:id="rId1"/>
        </xdr:cNvPr>
        <xdr:cNvSpPr txBox="1">
          <a:spLocks noChangeArrowheads="1"/>
        </xdr:cNvSpPr>
      </xdr:nvSpPr>
      <xdr:spPr>
        <a:xfrm>
          <a:off x="1066800" y="361950"/>
          <a:ext cx="885825" cy="419100"/>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1619250</xdr:colOff>
      <xdr:row>3</xdr:row>
      <xdr:rowOff>266700</xdr:rowOff>
    </xdr:from>
    <xdr:ext cx="1019175" cy="266700"/>
    <xdr:sp>
      <xdr:nvSpPr>
        <xdr:cNvPr id="1" name="TextBox 1">
          <a:hlinkClick r:id="rId1"/>
        </xdr:cNvPr>
        <xdr:cNvSpPr txBox="1">
          <a:spLocks noChangeArrowheads="1"/>
        </xdr:cNvSpPr>
      </xdr:nvSpPr>
      <xdr:spPr>
        <a:xfrm>
          <a:off x="1619250" y="847725"/>
          <a:ext cx="1019175" cy="266700"/>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419100</xdr:colOff>
      <xdr:row>2</xdr:row>
      <xdr:rowOff>0</xdr:rowOff>
    </xdr:from>
    <xdr:ext cx="876300" cy="314325"/>
    <xdr:sp>
      <xdr:nvSpPr>
        <xdr:cNvPr id="1" name="TextBox 3">
          <a:hlinkClick r:id="rId1"/>
        </xdr:cNvPr>
        <xdr:cNvSpPr txBox="1">
          <a:spLocks noChangeArrowheads="1"/>
        </xdr:cNvSpPr>
      </xdr:nvSpPr>
      <xdr:spPr>
        <a:xfrm>
          <a:off x="419100" y="390525"/>
          <a:ext cx="876300" cy="314325"/>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2</xdr:row>
      <xdr:rowOff>0</xdr:rowOff>
    </xdr:from>
    <xdr:ext cx="876300" cy="304800"/>
    <xdr:sp>
      <xdr:nvSpPr>
        <xdr:cNvPr id="1" name="TextBox 1">
          <a:hlinkClick r:id="rId1"/>
        </xdr:cNvPr>
        <xdr:cNvSpPr txBox="1">
          <a:spLocks noChangeArrowheads="1"/>
        </xdr:cNvSpPr>
      </xdr:nvSpPr>
      <xdr:spPr>
        <a:xfrm>
          <a:off x="295275" y="295275"/>
          <a:ext cx="876300" cy="304800"/>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266700</xdr:colOff>
      <xdr:row>2</xdr:row>
      <xdr:rowOff>47625</xdr:rowOff>
    </xdr:from>
    <xdr:ext cx="1047750" cy="276225"/>
    <xdr:sp>
      <xdr:nvSpPr>
        <xdr:cNvPr id="1" name="TextBox 1">
          <a:hlinkClick r:id="rId1"/>
        </xdr:cNvPr>
        <xdr:cNvSpPr txBox="1">
          <a:spLocks noChangeArrowheads="1"/>
        </xdr:cNvSpPr>
      </xdr:nvSpPr>
      <xdr:spPr>
        <a:xfrm>
          <a:off x="733425" y="428625"/>
          <a:ext cx="1047750" cy="276225"/>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66675</xdr:rowOff>
    </xdr:from>
    <xdr:ext cx="952500" cy="266700"/>
    <xdr:sp>
      <xdr:nvSpPr>
        <xdr:cNvPr id="1" name="TextBox 1">
          <a:hlinkClick r:id="rId1"/>
        </xdr:cNvPr>
        <xdr:cNvSpPr txBox="1">
          <a:spLocks noChangeArrowheads="1"/>
        </xdr:cNvSpPr>
      </xdr:nvSpPr>
      <xdr:spPr>
        <a:xfrm>
          <a:off x="571500" y="790575"/>
          <a:ext cx="952500" cy="266700"/>
        </a:xfrm>
        <a:prstGeom prst="rect">
          <a:avLst/>
        </a:prstGeom>
        <a:solidFill>
          <a:srgbClr val="00B0F0"/>
        </a:solidFill>
        <a:ln w="9525" cmpd="sng">
          <a:noFill/>
        </a:ln>
      </xdr:spPr>
      <xdr:txBody>
        <a:bodyPr vertOverflow="clip" wrap="square" anchor="ctr"/>
        <a:p>
          <a:pPr algn="ctr">
            <a:defRPr/>
          </a:pPr>
          <a:r>
            <a:rPr lang="en-US" cap="none" sz="1100" b="0" i="0" u="none" baseline="0">
              <a:solidFill>
                <a:srgbClr val="000000"/>
              </a:solidFill>
            </a:rPr>
            <a:t>Instructions</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fs01.gilberted.net\do-staff\Users\cvotroubek\AppData\Local\Temp\wzf9bb\Page%205%20ExpBudg%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8DESEGBU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8WRKS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Page 6"/>
      <sheetName val="Page 7"/>
      <sheetName val="Page 8"/>
      <sheetName val="Suppl Cover"/>
      <sheetName val="Supplement p.1&amp;2"/>
      <sheetName val="Supplement p.3"/>
      <sheetName val="Summary Page 1"/>
      <sheetName val="Summary Page 2"/>
      <sheetName val="Truth in Tax"/>
      <sheetName val="Instructions"/>
      <sheetName val="2017EXPBUD"/>
    </sheetNames>
    <definedNames>
      <definedName name="EstimatedFTECertified" refersTo="=Page 2!$G$24"/>
      <definedName name="F001P100F1000" refersTo="=Page 1!$L$7"/>
      <definedName name="F001P100F1000OthBudgFY" refersTo="=Summary Page 1!$F$32"/>
      <definedName name="F001P100F1000Personnel" refersTo="=Page 1!$E$8"/>
      <definedName name="F001P100F1000SBBudgFY" refersTo="=Summary Page 1!$D$32"/>
      <definedName name="F001P100F2100" refersTo="=Page 1!$L$9"/>
      <definedName name="F001P100F2100OthBudgFY" refersTo="=Summary Page 1!$F$34"/>
      <definedName name="F001P100F2100Personnel" refersTo="=Page 1!$E$10"/>
      <definedName name="F001P100F2100SBBudgFY" refersTo="=Summary Page 1!$D$34"/>
      <definedName name="F001P100F2200" refersTo="=Page 1!$L$11"/>
      <definedName name="F001P100F2200OthBudgFY" refersTo="=Summary Page 1!$F$36"/>
      <definedName name="F001P100F2200Personnel" refersTo="=Page 1!$E$11"/>
      <definedName name="F001P100F2200SBBudgFY" refersTo="=Summary Page 1!$D$36"/>
      <definedName name="F001P100F2300" refersTo="=Page 1!$L$12"/>
      <definedName name="F001P100F230024002500OthBudgFY" refersTo="=Summary Page 1!$F$37"/>
      <definedName name="F001P100F230024002500SBBudgFY" refersTo="=Summary Page 1!$D$37"/>
      <definedName name="F001P100F2300Personnel" refersTo="=Page 1!$E$12"/>
      <definedName name="F001P100F2400" refersTo="=Page 1!$L$13"/>
      <definedName name="F001P100F2400Personnel" refersTo="=Page 1!$E$13"/>
      <definedName name="F001P100F2500" refersTo="=Page 1!$L$14"/>
      <definedName name="F001P100F2500Personnel" refersTo="=Page 1!$E$14"/>
      <definedName name="F001P100F2600" refersTo="=Page 1!$L$15"/>
      <definedName name="F001P100F2600OthBudgFY" refersTo="=Summary Page 1!$F$38"/>
      <definedName name="F001P100F2600Personnel" refersTo="=Page 1!$E$15"/>
      <definedName name="F001P100F2600SBBudgFY" refersTo="=Summary Page 1!$D$38"/>
      <definedName name="F001P100F2900" refersTo="=Page 1!$L$16"/>
      <definedName name="F001P100F2900OthBudgFY" refersTo="=Summary Page 1!$F$39"/>
      <definedName name="F001P100F2900Personnel" refersTo="=Page 1!$E$16"/>
      <definedName name="F001P100F2900SBBudgFY" refersTo="=Summary Page 1!$D$39"/>
      <definedName name="F001P100F3000" refersTo="=Page 1!$L$17"/>
      <definedName name="F001P100F3000OthBudgFY" refersTo="=Summary Page 1!$F$40"/>
      <definedName name="F001P100F3000Personnel" refersTo="=Page 1!$E$17"/>
      <definedName name="F001P100F3000SBBudgFY" refersTo="=Summary Page 1!$D$40"/>
      <definedName name="F001P200F1000" refersTo="=Page 1!$L$23"/>
      <definedName name="F001P200F1000OthBudgFY" refersTo="=Summary Page 1!$F$45"/>
      <definedName name="F001P200F1000Personnel" refersTo="=Page 1!$E$24"/>
      <definedName name="F001P200F1000SBBudgFY" refersTo="=Summary Page 1!$D$45"/>
      <definedName name="F001P200F2100" refersTo="=Page 1!$L$25"/>
      <definedName name="F001P200F2100OthBudgFY" refersTo="=Summary Page 1!$F$47"/>
      <definedName name="F001P200F2100Personnel" refersTo="=Page 1!$E$26"/>
      <definedName name="F001P200F2100SBBudgFY" refersTo="=Summary Page 1!$D$47"/>
      <definedName name="F001P200F2200" refersTo="=Page 1!$L$27"/>
      <definedName name="F001P200F2200OthBudgFY" refersTo="=Summary Page 1!$F$49"/>
      <definedName name="F001P200F2200Personnel" refersTo="=Page 1!$E$27"/>
      <definedName name="F001P200F2200SBBudgFY" refersTo="=Summary Page 1!$D$49"/>
      <definedName name="F001P200F2300" refersTo="=Page 1!$L$28"/>
      <definedName name="F001P200F230024002500OthBudgFY" refersTo="=Summary Page 1!$F$50"/>
      <definedName name="F001P200F230024002500SBBudgFY" refersTo="=Summary Page 1!$D$50"/>
      <definedName name="F001P200F2300Personnel" refersTo="=Page 1!$E$28"/>
      <definedName name="F001P200F2400" refersTo="=Page 1!$L$29"/>
      <definedName name="F001P200F2400Personnel" refersTo="=Page 1!$E$29"/>
      <definedName name="F001P200F2500" refersTo="=Page 1!$L$30"/>
      <definedName name="F001P200F2500Personnel" refersTo="=Page 1!$E$30"/>
      <definedName name="F001P200F2600" refersTo="=Page 1!$L$31"/>
      <definedName name="F001P200F2600OthBudgFY" refersTo="=Summary Page 1!$F$51"/>
      <definedName name="F001P200F2600Personnel" refersTo="=Page 1!$E$31"/>
      <definedName name="F001P200F2600SBBudgFY" refersTo="=Summary Page 1!$D$51"/>
      <definedName name="F001P200F2900" refersTo="=Page 1!$L$32"/>
      <definedName name="F001P200F2900OthBudgFY" refersTo="=Summary Page 1!$F$52"/>
      <definedName name="F001P200F2900Personnel" refersTo="=Page 1!$E$32"/>
      <definedName name="F001P200F2900SBBudgFY" refersTo="=Summary Page 1!$D$52"/>
      <definedName name="F001P200F3000" refersTo="=Page 1!$L$33"/>
      <definedName name="F001P200F3000OthBudgFY" refersTo="=Summary Page 1!$F$53"/>
      <definedName name="F001P200F3000Personnel" refersTo="=Page 1!$E$33"/>
      <definedName name="F001P200F3000SBBudgFY" refersTo="=Summary Page 1!$D$53"/>
      <definedName name="F001P200Subtotal" refersTo="=Page 2!$G$7"/>
      <definedName name="F001P400" refersTo="=Page 1!$L$35"/>
      <definedName name="F001P400OthBudgFy" refersTo="=Summary Page 1!$F$55"/>
      <definedName name="F001P400Personnel" refersTo="=Page 1!$E$35"/>
      <definedName name="F001P400SBBudgFY" refersTo="=Summary Page 1!$D$55"/>
      <definedName name="F001P510OthBudgFY" refersTo="=Summary Page 1!$F$56"/>
      <definedName name="F001P510SBBudgFY" refersTo="=Summary Page 1!$D$56"/>
      <definedName name="F001P530" refersTo="=Page 1!$L$40"/>
      <definedName name="F001P530OthBudgFY" refersTo="=Summary Page 1!$F$58"/>
      <definedName name="F001P530Personnel" refersTo="=Page 1!$E$40"/>
      <definedName name="F001P530SBBudgFY" refersTo="=Summary Page 1!$D$58"/>
      <definedName name="F001P540" refersTo="=Page 1!$L$41"/>
      <definedName name="F001P540OthBudgFY" refersTo="=Summary Page 1!$F$59"/>
      <definedName name="F001P540SBBudgFY" refersTo="=Summary Page 1!$D$59"/>
      <definedName name="F001P550" refersTo="=Page 1!$L$43"/>
      <definedName name="F001P550OthBudgFY" refersTo="=Summary Page 1!$F$61"/>
      <definedName name="F001P550Personnel" refersTo="=Page 1!$E$43"/>
      <definedName name="F001P550SBBudgFY" refersTo="=Summary Page 1!$D$61"/>
      <definedName name="F001P610" refersTo="=Page 1!$L$18"/>
      <definedName name="F001P610OthBudgFY" refersTo="=Summary Page 1!$F$41"/>
      <definedName name="F001P610Personnel" refersTo="=Page 1!$E$18"/>
      <definedName name="F001P610SBBudgFY" refersTo="=Summary Page 1!$D$41"/>
      <definedName name="F001P620" refersTo="=Page 1!$L$19"/>
      <definedName name="F001P620OthBudgFY" refersTo="=Summary Page 1!$F$42"/>
      <definedName name="F001P620Personnel" refersTo="=Page 1!$E$19"/>
      <definedName name="F001P620SBBudgFY" refersTo="=Summary Page 1!$D$42"/>
      <definedName name="F001P630" refersTo="=Page 1!$L$20"/>
      <definedName name="F001P630700800900OthBudgFY" refersTo="=Summary Page 1!$F$43"/>
      <definedName name="F001P630700800900SBBudgFY" refersTo="=Summary Page 1!$D$43"/>
      <definedName name="F001P630Personnel" refersTo="=Page 1!$E$20"/>
      <definedName name="F001P700800900" refersTo="=Page 1!$L$21"/>
      <definedName name="F001P700800900Personnel" refersTo="=Page 1!$E$21"/>
      <definedName name="F001TotalExp" refersTo="=Page 1!$L$44"/>
      <definedName name="F010O6590BudgFY" refersTo="=Page 3!$P$9"/>
      <definedName name="F011CSFBL" refersTo="=Page 8!$F$45"/>
      <definedName name="F011P100F1000" refersTo="=Page 3!$J$6"/>
      <definedName name="F011P100F2100" refersTo="=Page 3!$J$9"/>
      <definedName name="F011P100F2200" refersTo="=Page 3!$J$10"/>
      <definedName name="F011P200F1000" refersTo="=Page 3!$J$12"/>
      <definedName name="F011P200F2100" refersTo="=Page 3!$J$14"/>
      <definedName name="F011P200F2200" refersTo="=Page 3!$J$15"/>
      <definedName name="F011POtherF1000" refersTo="=Page 3!$J$17"/>
      <definedName name="F011POtherF2100" refersTo="=Page 3!$J$19"/>
      <definedName name="F011POtherF2200" refersTo="=Page 3!$J$20"/>
      <definedName name="F012CSFBL" refersTo="=Page 8!$G$45"/>
      <definedName name="F012P100F1000" refersTo="=Page 3!$J$23"/>
      <definedName name="F012P100F2100" refersTo="=Page 3!$J$26"/>
      <definedName name="F012P100F2200" refersTo="=Page 3!$J$27"/>
      <definedName name="F012P200F1000" refersTo="=Page 3!$J$29"/>
      <definedName name="F012P200F2100" refersTo="=Page 3!$J$31"/>
      <definedName name="F012P200F2200" refersTo="=Page 3!$J$32"/>
      <definedName name="F012POtherF1000" refersTo="=Page 3!$J$34"/>
      <definedName name="F012POtherF2100" refersTo="=Page 3!$J$36"/>
      <definedName name="F012POtherF2200" refersTo="=Page 3!$J$37"/>
      <definedName name="F013CSFBL" refersTo="=Page 8!$H$45"/>
      <definedName name="F013P100F1000" refersTo="=Page 3!$J$40"/>
      <definedName name="F013P100F2100" refersTo="=Page 3!$J$43"/>
      <definedName name="F013P100F2200" refersTo="=Page 3!$J$44"/>
      <definedName name="F013P200F1000" refersTo="=Page 3!$J$46"/>
      <definedName name="F013P200F2100" refersTo="=Page 3!$J$48"/>
      <definedName name="F013P200F2200" refersTo="=Page 3!$J$49"/>
      <definedName name="F013P530F1000" refersTo="=Page 3!$J$51"/>
      <definedName name="F013POtherF1000" refersTo="=Page 3!$J$53"/>
      <definedName name="F013POtherF21002200" refersTo="=Page 3!$J$55"/>
      <definedName name="F020ClassSizeRedBudgFY" refersTo="=Page 6!$H$40"/>
      <definedName name="F020DropPrevProgBudgFY" refersTo="=Page 6!$H$41"/>
      <definedName name="F020InstrImprProgBudgFY" refersTo="=Page 6!$H$42"/>
      <definedName name="F020TeachCompIncrBudgFY" refersTo="=Page 6!$H$39"/>
      <definedName name="F050BudgFY" refersTo="=Page 6!$T$5"/>
      <definedName name="F071F1000" refersTo="=Supplement p.3!$M$7"/>
      <definedName name="F071F1000Personnel" refersTo="=Supplement p.3!$E$8"/>
      <definedName name="F071F2100" refersTo="=Supplement p.3!$M$9"/>
      <definedName name="F071F2100Personnel" refersTo="=Supplement p.3!$E$10"/>
      <definedName name="F071F2200" refersTo="=Supplement p.3!$M$11"/>
      <definedName name="F071F2200Personnel" refersTo="=Supplement p.3!$E$11"/>
      <definedName name="F071F2300" refersTo="=Supplement p.3!$M$12"/>
      <definedName name="F071F2300Personnel" refersTo="=Supplement p.3!$E$12"/>
      <definedName name="F071F2400" refersTo="=Supplement p.3!$M$13"/>
      <definedName name="F071F2400Personnel" refersTo="=Supplement p.3!$E$13"/>
      <definedName name="F071F2500" refersTo="=Supplement p.3!$M$14"/>
      <definedName name="F071F2500Personnel" refersTo="=Supplement p.3!$E$14"/>
      <definedName name="F071F2600" refersTo="=Supplement p.3!$M$15"/>
      <definedName name="F071F2600Personnel" refersTo="=Supplement p.3!$E$15"/>
      <definedName name="F071F2700" refersTo="=Supplement p.3!$M$16"/>
      <definedName name="F071F2700Personnel" refersTo="=Supplement p.3!$E$16"/>
      <definedName name="F071F2900" refersTo="=Supplement p.3!$M$17"/>
      <definedName name="F071F2900Personnel" refersTo="=Supplement p.3!$E$17"/>
      <definedName name="F072F1000" refersTo="=Supplement p.3!$M$19"/>
      <definedName name="F072F1000Personnel" refersTo="=Supplement p.3!$E$20"/>
      <definedName name="F072F2100" refersTo="=Supplement p.3!$M$21"/>
      <definedName name="F072F2100Personnel" refersTo="=Supplement p.3!$E$22"/>
      <definedName name="F072F2200" refersTo="=Supplement p.3!$M$23"/>
      <definedName name="F072F2200Personnel" refersTo="=Supplement p.3!$E$23"/>
      <definedName name="F072F2300" refersTo="=Supplement p.3!$M$24"/>
      <definedName name="F072F2300Personnel" refersTo="=Supplement p.3!$E$24"/>
      <definedName name="F072F2400" refersTo="=Supplement p.3!$M$25"/>
      <definedName name="F072F2400Personnel" refersTo="=Supplement p.3!$E$25"/>
      <definedName name="F072F2500" refersTo="=Supplement p.3!$M$26"/>
      <definedName name="F072F2500Personnel" refersTo="=Supplement p.3!$E$26"/>
      <definedName name="F072F2600" refersTo="=Supplement p.3!$M$27"/>
      <definedName name="F072F2600Personnel" refersTo="=Supplement p.3!$E$27"/>
      <definedName name="F072F2700" refersTo="=Supplement p.3!$M$28"/>
      <definedName name="F072F2700Personnel" refersTo="=Supplement p.3!$E$28"/>
      <definedName name="F072F2900" refersTo="=Supplement p.3!$M$29"/>
      <definedName name="F072F2900Personnel" refersTo="=Supplement p.3!$E$29"/>
      <definedName name="F100130BudgFY" refersTo="=Page 6!$J$7"/>
      <definedName name="F100130Personnel" refersTo="=Page 6!$G$7"/>
      <definedName name="F140150BudgFY" refersTo="=Page 6!$J$8"/>
      <definedName name="F140150Personnel" refersTo="=Page 6!$G$8"/>
      <definedName name="F160BudgFY" refersTo="=Page 6!$J$9"/>
      <definedName name="F160Personnel" refersTo="=Page 6!$G$9"/>
      <definedName name="F170180BudgFY" refersTo="=Page 6!$J$10"/>
      <definedName name="F170180Personnel" refersTo="=Page 6!$G$10"/>
      <definedName name="F190BudgFY" refersTo="=Page 6!$J$11"/>
      <definedName name="F190Personnel" refersTo="=Page 6!$G$11"/>
      <definedName name="F200BudgFY" refersTo="=Page 6!$J$12"/>
      <definedName name="F200Personnel" refersTo="=Page 6!$G$12"/>
      <definedName name="F210BudgFY" refersTo="=Page 6!$J$13"/>
      <definedName name="F210Personnel" refersTo="=Page 6!$G$13"/>
      <definedName name="F220BudgFY" refersTo="=Page 6!$J$14"/>
      <definedName name="F220Personnel" refersTo="=Page 6!$G$14"/>
      <definedName name="F230BudgFY" refersTo="=Page 6!$J$15"/>
      <definedName name="F230Personnel" refersTo="=Page 6!$G$15"/>
      <definedName name="F240BudgFY" refersTo="=Page 6!$J$16"/>
      <definedName name="F240Personnel" refersTo="=Page 6!$G$16"/>
      <definedName name="F250BudgFY" refersTo="=Page 6!$J$17"/>
      <definedName name="F250Personnel" refersTo="=Page 6!$G$17"/>
      <definedName name="F260270BudgFY" refersTo="=Page 6!$J$18"/>
      <definedName name="F260270Personnel" refersTo="=Page 6!$G$18"/>
      <definedName name="F280BudgFY" refersTo="=Page 6!$J$19"/>
      <definedName name="F280Personnel" refersTo="=Page 6!$G$19"/>
      <definedName name="F290BudgFY" refersTo="=Page 6!$J$20"/>
      <definedName name="F290Personnel" refersTo="=Page 6!$G$20"/>
      <definedName name="F300399OtherBudgFY" refersTo="=Page 6!$J$23"/>
      <definedName name="F300399OtherPersonnel" refersTo="=Page 6!$G$23"/>
      <definedName name="F374BudgFY" refersTo="=Page 6!$J$21"/>
      <definedName name="F374Personnel" refersTo="=Page 6!$G$21"/>
      <definedName name="F378BudgFY" refersTo="=Page 6!$J$22"/>
      <definedName name="F378Personnel" refersTo="=Page 6!$G$22"/>
      <definedName name="F400BudgFY" refersTo="=Page 6!$J$26"/>
      <definedName name="F400Personnel" refersTo="=Page 6!$G$26"/>
      <definedName name="F410BudgFY" refersTo="=Page 6!$J$27"/>
      <definedName name="F410Personnel" refersTo="=Page 6!$G$27"/>
      <definedName name="F420BudgFY" refersTo="=Page 6!$J$28"/>
      <definedName name="F420Personnel" refersTo="=Page 6!$G$28"/>
      <definedName name="F425BudgFY" refersTo="=Page 6!$J$29"/>
      <definedName name="F425Personnel" refersTo="=Page 6!$G$29"/>
      <definedName name="F430BudgFY" refersTo="=Page 6!$J$30"/>
      <definedName name="F430Personnel" refersTo="=Page 6!$G$30"/>
      <definedName name="F435BudgFY" refersTo="=Page 6!$J$31"/>
      <definedName name="F435Personnel" refersTo="=Page 6!$G$31"/>
      <definedName name="F450BudgFY" refersTo="=Page 6!$J$32"/>
      <definedName name="F450Personnel" refersTo="=Page 6!$G$32"/>
      <definedName name="F460BudgFY" refersTo="=Page 6!$J$33"/>
      <definedName name="F460Personnel" refersTo="=Page 6!$G$33"/>
      <definedName name="F465499BudgFY" refersTo="=Page 6!$J$34"/>
      <definedName name="F465499Personnel" refersTo="=Page 6!$G$34"/>
      <definedName name="F500BudgFY" refersTo="=Page 6!$T$8"/>
      <definedName name="F510BudgFY" refersTo="=Page 6!$T$9"/>
      <definedName name="F515BudgFY" refersTo="=Page 6!$T$10"/>
      <definedName name="F520BudgFY" refersTo="=Page 6!$T$11"/>
      <definedName name="F525BudgFY" refersTo="=Page 6!$T$12"/>
      <definedName name="F526BudgFY" refersTo="=Page 6!$T$13"/>
      <definedName name="F530BudgFY" refersTo="=Page 6!$T$14"/>
      <definedName name="F535BudgFY" refersTo="=Page 6!$T$15"/>
      <definedName name="F540BudgFY" refersTo="=Page 6!$T$16"/>
      <definedName name="F545BudgFY" refersTo="=Page 6!$T$17"/>
      <definedName name="F550BudgFY" refersTo="=Page 6!$T$18"/>
      <definedName name="F555BudgFY" refersTo="=Page 6!$T$19"/>
      <definedName name="F565BudgFY" refersTo="=Page 6!$T$20"/>
      <definedName name="F570BudgFY" refersTo="=Page 6!$T$21"/>
      <definedName name="F575BudgFY" refersTo="=Page 6!$T$22"/>
      <definedName name="F580BudgFY" refersTo="=Page 6!$T$23"/>
      <definedName name="F585BudgFY" refersTo="=Page 6!$T$24"/>
      <definedName name="F590BudgFY" refersTo="=Page 6!$T$25"/>
      <definedName name="F595BudgFY" refersTo="=Page 6!$T$26"/>
      <definedName name="F596BudgFY" refersTo="=Page 6!$T$27"/>
      <definedName name="F610BudgFYNewConstruction" refersTo="=Page 5!$E$23"/>
      <definedName name="F610BudgFYO6150" refersTo="=Page 5!$E$10"/>
      <definedName name="F610BudgFYO6200" refersTo="=Page 5!$E$11"/>
      <definedName name="F610BudgFYO6450" refersTo="=Page 5!$E$12"/>
      <definedName name="F610BudgFYO6710" refersTo="=Page 5!$E$13"/>
      <definedName name="F610BudgFYO6720" refersTo="=Page 5!$E$14"/>
      <definedName name="F610BudgFYO6731" refersTo="=Page 5!$E$15"/>
      <definedName name="F610BudgFYO6734" refersTo="=Page 5!$E$16"/>
      <definedName name="F610BudgFYO6737" refersTo="=Page 5!$E$17"/>
      <definedName name="F610BudgFYO6831" refersTo="=Page 5!$E$18"/>
      <definedName name="F610BudgFYO6841" refersTo="=Page 5!$E$19"/>
      <definedName name="F610BudgFYOther" refersTo="=Page 5!$E$24"/>
      <definedName name="F610BudgFYRenovation" refersTo="=Page 5!$E$22"/>
      <definedName name="F610F1000" refersTo="=Page 4!$K$9"/>
      <definedName name="F610F21002200" refersTo="=Page 4!$K$11"/>
      <definedName name="F610F2300240025002900" refersTo="=Page 4!$K$13"/>
      <definedName name="F610F2600" refersTo="=Page 4!$K$14"/>
      <definedName name="F610F2700" refersTo="=Page 4!$K$15"/>
      <definedName name="F610F3000" refersTo="=Page 4!$K$16"/>
      <definedName name="F610F4000" refersTo="=Page 4!$K$17"/>
      <definedName name="F610F5000" refersTo="=Page 4!$K$18"/>
      <definedName name="F610Override" refersTo="=Page 4!$K$8"/>
      <definedName name="F610TotalBudgFY" refersTo="=Page 4!$K$19"/>
      <definedName name="F620BudgFYNewConstruction" refersTo="=Page 5!$K$23"/>
      <definedName name="F620BudgFYO6150" refersTo="=Page 5!$K$10"/>
      <definedName name="F620BudgFYO6200" refersTo="=Page 5!$K$11"/>
      <definedName name="F620BudgFYO6450" refersTo="=Page 5!$K$12"/>
      <definedName name="F620BudgFYO6710" refersTo="=Page 5!$K$13"/>
      <definedName name="F620BudgFYO6720" refersTo="=Page 5!$K$14"/>
      <definedName name="F620BudgFYO6731" refersTo="=Page 5!$K$15"/>
      <definedName name="F620BudgFYO6734" refersTo="=Page 5!$K$16"/>
      <definedName name="F620BudgFYO6737" refersTo="=Page 5!$K$17"/>
      <definedName name="F620BudgFYO6831" refersTo="=Page 5!$K$18"/>
      <definedName name="F620BudgFYO6841" refersTo="=Page 5!$K$19"/>
      <definedName name="F620BudgFYOther" refersTo="=Page 5!$K$24"/>
      <definedName name="F620BudgFYRenovation" refersTo="=Page 5!$K$22"/>
      <definedName name="F620TotalBudgFY" refersTo="=Page 5!$K$8"/>
      <definedName name="F630BudgFYNewConstruction" refersTo="=Page 5!$G$23"/>
      <definedName name="F630BudgFYO6150" refersTo="=Page 5!$G$10"/>
      <definedName name="F630BudgFYO6200" refersTo="=Page 5!$G$11"/>
      <definedName name="F630BudgFYO6450" refersTo="=Page 5!$G$12"/>
      <definedName name="F630BudgFYO6710" refersTo="=Page 5!$G$13"/>
      <definedName name="F630BudgFYO6720" refersTo="=Page 5!$G$14"/>
      <definedName name="F630BudgFYO6731" refersTo="=Page 5!$G$15"/>
      <definedName name="F630BudgFYO6734" refersTo="=Page 5!$G$16"/>
      <definedName name="F630BudgFYO6737" refersTo="=Page 5!$G$17"/>
      <definedName name="F630BudgFYO6831" refersTo="=Page 5!$G$18"/>
      <definedName name="F630BudgFYO6841" refersTo="=Page 5!$G$19"/>
      <definedName name="F630BudgFYOther" refersTo="=Page 5!$G$24"/>
      <definedName name="F630BudgFYRenovation" refersTo="=Page 5!$G$22"/>
      <definedName name="F630TotalBudgFY" refersTo="=Page 5!$G$8"/>
      <definedName name="F639BudgFY" refersTo="=Page 6!$T$29"/>
      <definedName name="F650BudgFY" refersTo="=Page 6!$T$30"/>
      <definedName name="F660BudgFY" refersTo="=Page 6!$T$31"/>
      <definedName name="F665BudgFY" refersTo="=Page 6!$T$32"/>
      <definedName name="F686BudgFY" refersTo="=Page 6!$T$33"/>
      <definedName name="F691BudgFY" refersTo="=Page 6!$T$34"/>
      <definedName name="F695BudgFYNewConstruction" refersTo="=Page 5!$I$23"/>
      <definedName name="F695BudgFYO6150" refersTo="=Page 5!$I$10"/>
      <definedName name="F695BudgFYO6200" refersTo="=Page 5!$I$11"/>
      <definedName name="F695BudgFYO6450" refersTo="=Page 5!$I$12"/>
      <definedName name="F695BudgFYO6710" refersTo="=Page 5!$I$13"/>
      <definedName name="F695BudgFYO6720" refersTo="=Page 5!$I$14"/>
      <definedName name="F695BudgFYO6731" refersTo="=Page 5!$I$15"/>
      <definedName name="F695BudgFYO6734" refersTo="=Page 5!$I$16"/>
      <definedName name="F695BudgFYO6737" refersTo="=Page 5!$I$17"/>
      <definedName name="F695BudgFYO6831" refersTo="=Page 5!$I$18"/>
      <definedName name="F695BudgFYO6841" refersTo="=Page 5!$I$19"/>
      <definedName name="F695BudgFYOther" refersTo="=Page 5!$I$24"/>
      <definedName name="F695TotalBudgFY" refersTo="=Page 5!$I$8"/>
      <definedName name="F720BudgFY" refersTo="=Page 6!$T$36"/>
      <definedName name="F9__OPEBBudgFY" refersTo="=Page 6!$T$41"/>
      <definedName name="F9__OtherBudgFY" refersTo="=Page 6!$T$42"/>
      <definedName name="F9__SelfInsBudgFY" refersTo="=Page 6!$T$39"/>
      <definedName name="F955BudgFY" refersTo="=Page 6!$T$40"/>
      <definedName name="OtherFundsBudgFY" refersTo="=Page 6!$T$37"/>
      <definedName name="SPEDCareerEdBudgFY" refersTo="=Page 2!$G$13"/>
      <definedName name="SPEDELLCompInstrBudgFY" refersTo="=Page 2!$G$11"/>
      <definedName name="SPEDELLIncCostBudgFY" refersTo="=Page 2!$G$10"/>
      <definedName name="SPEDGiftedEdBudgFY" refersTo="=Page 2!$G$8"/>
      <definedName name="SPEDRemedialEdBudgFY" refersTo="=Page 2!$G$9"/>
      <definedName name="SPEDVocTechEdBudgFY" refersTo="=Page 2!$G$12"/>
      <definedName name="TotClassSiteFundExpBudgFY" refersTo="=Page 3!$J$58"/>
      <definedName name="UCBLBudgFY" refersTo="=Page 8!$K$32"/>
    </definedNames>
    <sheetDataSet>
      <sheetData sheetId="1">
        <row r="7">
          <cell r="L7">
            <v>102525614</v>
          </cell>
        </row>
        <row r="8">
          <cell r="E8">
            <v>1565</v>
          </cell>
        </row>
        <row r="9">
          <cell r="L9">
            <v>8393600</v>
          </cell>
        </row>
        <row r="10">
          <cell r="E10">
            <v>164</v>
          </cell>
        </row>
        <row r="11">
          <cell r="E11">
            <v>53</v>
          </cell>
          <cell r="L11">
            <v>3557047</v>
          </cell>
        </row>
        <row r="12">
          <cell r="E12">
            <v>4</v>
          </cell>
          <cell r="L12">
            <v>530141</v>
          </cell>
        </row>
        <row r="13">
          <cell r="E13">
            <v>132.5</v>
          </cell>
          <cell r="L13">
            <v>10082295</v>
          </cell>
        </row>
        <row r="14">
          <cell r="E14">
            <v>87.25</v>
          </cell>
          <cell r="L14">
            <v>6416128</v>
          </cell>
        </row>
        <row r="15">
          <cell r="E15">
            <v>395.4</v>
          </cell>
          <cell r="L15">
            <v>23797741</v>
          </cell>
        </row>
        <row r="16">
          <cell r="L16">
            <v>0</v>
          </cell>
        </row>
        <row r="17">
          <cell r="E17">
            <v>5</v>
          </cell>
          <cell r="L17">
            <v>308275</v>
          </cell>
        </row>
        <row r="18">
          <cell r="E18">
            <v>0</v>
          </cell>
          <cell r="L18">
            <v>634</v>
          </cell>
        </row>
        <row r="19">
          <cell r="E19">
            <v>9</v>
          </cell>
          <cell r="L19">
            <v>1652606</v>
          </cell>
        </row>
        <row r="20">
          <cell r="E20">
            <v>0</v>
          </cell>
          <cell r="L20">
            <v>7000</v>
          </cell>
        </row>
        <row r="21">
          <cell r="E21">
            <v>0</v>
          </cell>
          <cell r="L21">
            <v>198308</v>
          </cell>
        </row>
        <row r="23">
          <cell r="L23">
            <v>30286622</v>
          </cell>
        </row>
        <row r="24">
          <cell r="E24">
            <v>726</v>
          </cell>
        </row>
        <row r="25">
          <cell r="L25">
            <v>8989824</v>
          </cell>
        </row>
        <row r="26">
          <cell r="E26">
            <v>103</v>
          </cell>
        </row>
        <row r="27">
          <cell r="E27">
            <v>5</v>
          </cell>
          <cell r="L27">
            <v>828919</v>
          </cell>
        </row>
        <row r="28">
          <cell r="E28">
            <v>0.5</v>
          </cell>
          <cell r="L28">
            <v>10387</v>
          </cell>
        </row>
        <row r="29">
          <cell r="E29">
            <v>1</v>
          </cell>
          <cell r="L29">
            <v>7553</v>
          </cell>
        </row>
        <row r="30">
          <cell r="E30">
            <v>0</v>
          </cell>
          <cell r="L30">
            <v>21375</v>
          </cell>
        </row>
        <row r="31">
          <cell r="E31">
            <v>0</v>
          </cell>
          <cell r="L31">
            <v>3445</v>
          </cell>
        </row>
        <row r="32">
          <cell r="E32">
            <v>0</v>
          </cell>
          <cell r="L32">
            <v>0</v>
          </cell>
        </row>
        <row r="33">
          <cell r="E33">
            <v>0</v>
          </cell>
          <cell r="L33">
            <v>1787</v>
          </cell>
        </row>
        <row r="35">
          <cell r="E35">
            <v>199</v>
          </cell>
          <cell r="L35">
            <v>10664862</v>
          </cell>
        </row>
        <row r="40">
          <cell r="L40">
            <v>0</v>
          </cell>
        </row>
        <row r="41">
          <cell r="E41">
            <v>0</v>
          </cell>
          <cell r="L41">
            <v>0</v>
          </cell>
        </row>
        <row r="43">
          <cell r="E43">
            <v>18.5</v>
          </cell>
          <cell r="L43">
            <v>1214633</v>
          </cell>
        </row>
        <row r="44">
          <cell r="L44">
            <v>209498796</v>
          </cell>
        </row>
      </sheetData>
      <sheetData sheetId="2">
        <row r="7">
          <cell r="G7">
            <v>36011946</v>
          </cell>
        </row>
        <row r="8">
          <cell r="G8">
            <v>1864386</v>
          </cell>
        </row>
        <row r="9">
          <cell r="G9">
            <v>0</v>
          </cell>
        </row>
        <row r="10">
          <cell r="G10">
            <v>151530</v>
          </cell>
        </row>
        <row r="11">
          <cell r="G11">
            <v>0</v>
          </cell>
        </row>
        <row r="12">
          <cell r="G12">
            <v>1994034</v>
          </cell>
        </row>
        <row r="13">
          <cell r="G13">
            <v>128016</v>
          </cell>
        </row>
        <row r="24">
          <cell r="G24">
            <v>2127</v>
          </cell>
        </row>
      </sheetData>
      <sheetData sheetId="3">
        <row r="6">
          <cell r="J6">
            <v>2566091</v>
          </cell>
        </row>
        <row r="9">
          <cell r="J9">
            <v>34983</v>
          </cell>
        </row>
        <row r="10">
          <cell r="J10">
            <v>20467</v>
          </cell>
        </row>
        <row r="11">
          <cell r="J11">
            <v>2621541</v>
          </cell>
        </row>
        <row r="12">
          <cell r="J12">
            <v>352859</v>
          </cell>
        </row>
        <row r="14">
          <cell r="J14">
            <v>7056</v>
          </cell>
        </row>
        <row r="15">
          <cell r="J15">
            <v>6420</v>
          </cell>
        </row>
        <row r="16">
          <cell r="J16">
            <v>366335</v>
          </cell>
        </row>
        <row r="17">
          <cell r="J17">
            <v>0</v>
          </cell>
        </row>
        <row r="19">
          <cell r="J19">
            <v>0</v>
          </cell>
        </row>
        <row r="20">
          <cell r="J20">
            <v>0</v>
          </cell>
        </row>
        <row r="21">
          <cell r="J21">
            <v>0</v>
          </cell>
        </row>
        <row r="22">
          <cell r="J22">
            <v>2987876</v>
          </cell>
        </row>
        <row r="23">
          <cell r="J23">
            <v>5831179</v>
          </cell>
        </row>
        <row r="26">
          <cell r="J26">
            <v>0</v>
          </cell>
        </row>
        <row r="27">
          <cell r="J27">
            <v>0</v>
          </cell>
        </row>
        <row r="28">
          <cell r="J28">
            <v>5831179</v>
          </cell>
        </row>
        <row r="29">
          <cell r="J29">
            <v>144572</v>
          </cell>
        </row>
        <row r="31">
          <cell r="J31">
            <v>0</v>
          </cell>
        </row>
        <row r="32">
          <cell r="J32">
            <v>0</v>
          </cell>
        </row>
        <row r="33">
          <cell r="J33">
            <v>144572</v>
          </cell>
        </row>
        <row r="34">
          <cell r="J34">
            <v>0</v>
          </cell>
        </row>
        <row r="36">
          <cell r="J36">
            <v>0</v>
          </cell>
        </row>
        <row r="37">
          <cell r="J37">
            <v>0</v>
          </cell>
        </row>
        <row r="38">
          <cell r="J38">
            <v>0</v>
          </cell>
        </row>
        <row r="39">
          <cell r="J39">
            <v>5975751</v>
          </cell>
        </row>
        <row r="40">
          <cell r="J40">
            <v>4867714</v>
          </cell>
        </row>
        <row r="43">
          <cell r="J43">
            <v>75760</v>
          </cell>
        </row>
        <row r="44">
          <cell r="J44">
            <v>289303</v>
          </cell>
        </row>
        <row r="45">
          <cell r="J45">
            <v>5232777</v>
          </cell>
        </row>
        <row r="46">
          <cell r="J46">
            <v>716947</v>
          </cell>
        </row>
        <row r="48">
          <cell r="J48">
            <v>14120</v>
          </cell>
        </row>
        <row r="49">
          <cell r="J49">
            <v>11907</v>
          </cell>
        </row>
        <row r="50">
          <cell r="J50">
            <v>742974</v>
          </cell>
        </row>
        <row r="51">
          <cell r="J51">
            <v>0</v>
          </cell>
        </row>
        <row r="53">
          <cell r="J53">
            <v>0</v>
          </cell>
        </row>
        <row r="55">
          <cell r="J55">
            <v>0</v>
          </cell>
        </row>
        <row r="56">
          <cell r="J56">
            <v>0</v>
          </cell>
        </row>
        <row r="57">
          <cell r="J57">
            <v>5975751</v>
          </cell>
        </row>
        <row r="58">
          <cell r="J58">
            <v>14939378</v>
          </cell>
        </row>
      </sheetData>
      <sheetData sheetId="4">
        <row r="8">
          <cell r="K8">
            <v>0</v>
          </cell>
        </row>
        <row r="9">
          <cell r="K9">
            <v>2975445</v>
          </cell>
        </row>
        <row r="11">
          <cell r="K11">
            <v>1109683</v>
          </cell>
        </row>
        <row r="13">
          <cell r="K13">
            <v>708998</v>
          </cell>
        </row>
        <row r="14">
          <cell r="K14">
            <v>554446</v>
          </cell>
        </row>
        <row r="15">
          <cell r="K15">
            <v>0</v>
          </cell>
        </row>
        <row r="16">
          <cell r="K16">
            <v>0</v>
          </cell>
        </row>
        <row r="17">
          <cell r="K17">
            <v>586144</v>
          </cell>
        </row>
        <row r="18">
          <cell r="K18">
            <v>265284</v>
          </cell>
        </row>
        <row r="19">
          <cell r="K19">
            <v>6200000</v>
          </cell>
        </row>
      </sheetData>
      <sheetData sheetId="5">
        <row r="8">
          <cell r="G8">
            <v>31492768</v>
          </cell>
          <cell r="K8">
            <v>0</v>
          </cell>
        </row>
        <row r="11">
          <cell r="E11">
            <v>0</v>
          </cell>
        </row>
        <row r="12">
          <cell r="E12">
            <v>330116</v>
          </cell>
          <cell r="G12">
            <v>2546830</v>
          </cell>
        </row>
        <row r="13">
          <cell r="E13">
            <v>27000</v>
          </cell>
          <cell r="G13">
            <v>554778</v>
          </cell>
        </row>
        <row r="14">
          <cell r="G14">
            <v>142984</v>
          </cell>
        </row>
        <row r="15">
          <cell r="E15">
            <v>2096</v>
          </cell>
          <cell r="G15">
            <v>20266232</v>
          </cell>
        </row>
        <row r="16">
          <cell r="E16">
            <v>0</v>
          </cell>
          <cell r="G16">
            <v>7343942</v>
          </cell>
        </row>
        <row r="17">
          <cell r="E17">
            <v>500</v>
          </cell>
          <cell r="G17">
            <v>252466</v>
          </cell>
        </row>
        <row r="18">
          <cell r="E18">
            <v>248293</v>
          </cell>
        </row>
        <row r="19">
          <cell r="E19">
            <v>16991</v>
          </cell>
        </row>
        <row r="22">
          <cell r="E22">
            <v>24996</v>
          </cell>
          <cell r="G22">
            <v>20000000</v>
          </cell>
        </row>
        <row r="24">
          <cell r="E24">
            <v>600000</v>
          </cell>
          <cell r="G24">
            <v>11107232</v>
          </cell>
        </row>
      </sheetData>
      <sheetData sheetId="6">
        <row r="7">
          <cell r="G7">
            <v>63.37</v>
          </cell>
          <cell r="J7">
            <v>4081228</v>
          </cell>
        </row>
        <row r="8">
          <cell r="G8">
            <v>1.5</v>
          </cell>
          <cell r="J8">
            <v>970896</v>
          </cell>
          <cell r="T8">
            <v>160261</v>
          </cell>
        </row>
        <row r="9">
          <cell r="T9">
            <v>11585160</v>
          </cell>
        </row>
        <row r="10">
          <cell r="T10">
            <v>1050005</v>
          </cell>
        </row>
        <row r="11">
          <cell r="G11">
            <v>0.25</v>
          </cell>
          <cell r="J11">
            <v>192914</v>
          </cell>
          <cell r="T11">
            <v>4800000</v>
          </cell>
        </row>
        <row r="12">
          <cell r="T12">
            <v>2500000</v>
          </cell>
        </row>
        <row r="13">
          <cell r="T13">
            <v>1879602</v>
          </cell>
        </row>
        <row r="14">
          <cell r="G14">
            <v>107.5</v>
          </cell>
          <cell r="J14">
            <v>6168551</v>
          </cell>
          <cell r="T14">
            <v>600000</v>
          </cell>
        </row>
        <row r="16">
          <cell r="T16">
            <v>18000</v>
          </cell>
        </row>
        <row r="17">
          <cell r="G17">
            <v>0</v>
          </cell>
          <cell r="J17">
            <v>131852</v>
          </cell>
        </row>
        <row r="18">
          <cell r="G18">
            <v>0</v>
          </cell>
          <cell r="J18">
            <v>411164</v>
          </cell>
          <cell r="T18">
            <v>87057</v>
          </cell>
        </row>
        <row r="19">
          <cell r="T19">
            <v>3216</v>
          </cell>
        </row>
        <row r="20">
          <cell r="G20">
            <v>1</v>
          </cell>
          <cell r="J20">
            <v>200</v>
          </cell>
          <cell r="T20">
            <v>10000</v>
          </cell>
        </row>
        <row r="21">
          <cell r="G21">
            <v>0</v>
          </cell>
          <cell r="J21">
            <v>0</v>
          </cell>
          <cell r="T21">
            <v>1000000</v>
          </cell>
        </row>
        <row r="22">
          <cell r="T22">
            <v>13708</v>
          </cell>
        </row>
        <row r="23">
          <cell r="G23">
            <v>4</v>
          </cell>
          <cell r="J23">
            <v>15000</v>
          </cell>
        </row>
        <row r="26">
          <cell r="G26">
            <v>0</v>
          </cell>
          <cell r="J26">
            <v>338130</v>
          </cell>
        </row>
        <row r="27">
          <cell r="T27">
            <v>4059100</v>
          </cell>
        </row>
        <row r="29">
          <cell r="G29">
            <v>0</v>
          </cell>
          <cell r="J29">
            <v>11460</v>
          </cell>
        </row>
        <row r="30">
          <cell r="T30">
            <v>0</v>
          </cell>
        </row>
        <row r="32">
          <cell r="T32">
            <v>780242</v>
          </cell>
        </row>
        <row r="34">
          <cell r="G34">
            <v>0</v>
          </cell>
          <cell r="J34">
            <v>6450</v>
          </cell>
          <cell r="T34">
            <v>193396</v>
          </cell>
        </row>
        <row r="37">
          <cell r="T37">
            <v>2711673</v>
          </cell>
        </row>
        <row r="40">
          <cell r="H40">
            <v>900000</v>
          </cell>
          <cell r="T40">
            <v>2372</v>
          </cell>
        </row>
        <row r="41">
          <cell r="H41">
            <v>10200</v>
          </cell>
        </row>
        <row r="42">
          <cell r="H42">
            <v>509800</v>
          </cell>
          <cell r="T42">
            <v>181771</v>
          </cell>
        </row>
      </sheetData>
      <sheetData sheetId="7">
        <row r="36">
          <cell r="J36">
            <v>0</v>
          </cell>
        </row>
      </sheetData>
      <sheetData sheetId="8">
        <row r="32">
          <cell r="K32">
            <v>6200000</v>
          </cell>
        </row>
        <row r="45">
          <cell r="F45">
            <v>2987876</v>
          </cell>
          <cell r="G45">
            <v>5975751</v>
          </cell>
          <cell r="H45">
            <v>5975751</v>
          </cell>
        </row>
      </sheetData>
      <sheetData sheetId="11">
        <row r="7">
          <cell r="M7">
            <v>0</v>
          </cell>
        </row>
        <row r="8">
          <cell r="E8">
            <v>0</v>
          </cell>
        </row>
        <row r="9">
          <cell r="M9">
            <v>0</v>
          </cell>
        </row>
        <row r="10">
          <cell r="E10">
            <v>0</v>
          </cell>
        </row>
        <row r="11">
          <cell r="M11">
            <v>0</v>
          </cell>
        </row>
        <row r="12">
          <cell r="M12">
            <v>0</v>
          </cell>
        </row>
        <row r="13">
          <cell r="M13">
            <v>0</v>
          </cell>
        </row>
        <row r="14">
          <cell r="M14">
            <v>0</v>
          </cell>
        </row>
        <row r="15">
          <cell r="M15">
            <v>0</v>
          </cell>
        </row>
        <row r="16">
          <cell r="M16">
            <v>0</v>
          </cell>
        </row>
        <row r="17">
          <cell r="M17">
            <v>0</v>
          </cell>
        </row>
        <row r="19">
          <cell r="M19">
            <v>0</v>
          </cell>
        </row>
        <row r="21">
          <cell r="M21">
            <v>0</v>
          </cell>
        </row>
        <row r="23">
          <cell r="M23">
            <v>0</v>
          </cell>
        </row>
        <row r="24">
          <cell r="M24">
            <v>0</v>
          </cell>
        </row>
        <row r="25">
          <cell r="M25">
            <v>0</v>
          </cell>
        </row>
        <row r="26">
          <cell r="M26">
            <v>0</v>
          </cell>
        </row>
        <row r="27">
          <cell r="M27">
            <v>0</v>
          </cell>
        </row>
        <row r="28">
          <cell r="M28">
            <v>0</v>
          </cell>
        </row>
        <row r="29">
          <cell r="M29">
            <v>0</v>
          </cell>
        </row>
      </sheetData>
      <sheetData sheetId="12">
        <row r="32">
          <cell r="D32">
            <v>97638787</v>
          </cell>
          <cell r="F32">
            <v>4886827</v>
          </cell>
        </row>
        <row r="34">
          <cell r="D34">
            <v>8297808</v>
          </cell>
          <cell r="F34">
            <v>95792</v>
          </cell>
        </row>
        <row r="36">
          <cell r="D36">
            <v>3233995</v>
          </cell>
          <cell r="F36">
            <v>323052</v>
          </cell>
        </row>
        <row r="37">
          <cell r="D37">
            <v>15232696</v>
          </cell>
          <cell r="F37">
            <v>1795868</v>
          </cell>
        </row>
        <row r="38">
          <cell r="D38">
            <v>12025574</v>
          </cell>
          <cell r="F38">
            <v>11772167</v>
          </cell>
        </row>
        <row r="39">
          <cell r="D39">
            <v>0</v>
          </cell>
          <cell r="F39">
            <v>0</v>
          </cell>
        </row>
        <row r="40">
          <cell r="D40">
            <v>80000</v>
          </cell>
          <cell r="F40">
            <v>228275</v>
          </cell>
        </row>
        <row r="41">
          <cell r="D41">
            <v>0</v>
          </cell>
          <cell r="F41">
            <v>634</v>
          </cell>
        </row>
        <row r="42">
          <cell r="D42">
            <v>1612199</v>
          </cell>
          <cell r="F42">
            <v>40407</v>
          </cell>
        </row>
        <row r="43">
          <cell r="D43">
            <v>205425</v>
          </cell>
          <cell r="F43">
            <v>-117</v>
          </cell>
        </row>
        <row r="45">
          <cell r="D45">
            <v>27984856</v>
          </cell>
          <cell r="F45">
            <v>2301766</v>
          </cell>
        </row>
        <row r="47">
          <cell r="D47">
            <v>8336138</v>
          </cell>
          <cell r="F47">
            <v>653686</v>
          </cell>
        </row>
        <row r="49">
          <cell r="D49">
            <v>814349</v>
          </cell>
          <cell r="F49">
            <v>14570</v>
          </cell>
        </row>
        <row r="50">
          <cell r="D50">
            <v>17885</v>
          </cell>
          <cell r="F50">
            <v>21430</v>
          </cell>
        </row>
        <row r="51">
          <cell r="D51">
            <v>2419</v>
          </cell>
          <cell r="F51">
            <v>1026</v>
          </cell>
        </row>
        <row r="52">
          <cell r="D52">
            <v>0</v>
          </cell>
          <cell r="F52">
            <v>0</v>
          </cell>
        </row>
        <row r="53">
          <cell r="D53">
            <v>1787</v>
          </cell>
          <cell r="F53">
            <v>0</v>
          </cell>
        </row>
        <row r="55">
          <cell r="D55">
            <v>7990264</v>
          </cell>
          <cell r="F55">
            <v>2674598</v>
          </cell>
        </row>
        <row r="56">
          <cell r="D56">
            <v>0</v>
          </cell>
          <cell r="F56">
            <v>0</v>
          </cell>
        </row>
        <row r="58">
          <cell r="D58">
            <v>0</v>
          </cell>
          <cell r="F58">
            <v>0</v>
          </cell>
        </row>
        <row r="59">
          <cell r="D59">
            <v>0</v>
          </cell>
          <cell r="F59">
            <v>0</v>
          </cell>
        </row>
        <row r="61">
          <cell r="D61">
            <v>1214633</v>
          </cell>
          <cell r="F61">
            <v>0</v>
          </cell>
        </row>
      </sheetData>
      <sheetData sheetId="14">
        <row r="7">
          <cell r="I7">
            <v>0</v>
          </cell>
        </row>
        <row r="11">
          <cell r="I11">
            <v>0</v>
          </cell>
        </row>
        <row r="12">
          <cell r="I12">
            <v>0</v>
          </cell>
        </row>
        <row r="13">
          <cell r="I13">
            <v>0</v>
          </cell>
        </row>
        <row r="14">
          <cell r="I14">
            <v>0</v>
          </cell>
        </row>
        <row r="25">
          <cell r="I2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strictwide"/>
      <sheetName val="Districtwide-IA Fund"/>
      <sheetName val="Template"/>
      <sheetName val="Instructions"/>
      <sheetName val="2018DESEGBUD"/>
    </sheetNames>
    <definedNames>
      <definedName name="DesegFTEBY" refersTo="=Districtwide!$E$66"/>
      <definedName name="DesegFTEPY" refersTo="=Districtwide!$D$66"/>
      <definedName name="DesegTotalMOBY" refersTo="=Districtwide!$L$66"/>
      <definedName name="DesegTotalMOO6100" refersTo="=Districtwide!$F$66"/>
      <definedName name="DesegTotalMOO6200" refersTo="=Districtwide!$G$66"/>
      <definedName name="DesegTotalMOO630064006500" refersTo="=Districtwide!$H$66"/>
      <definedName name="DesegTotalMOO6600" refersTo="=Districtwide!$I$66"/>
      <definedName name="DesegTotalMOO6800" refersTo="=Districtwide!$J$66"/>
      <definedName name="DesegTotalMOPercent" refersTo="=Districtwide!$M$66"/>
      <definedName name="DesegTotalMOPY" refersTo="=Districtwide!$K$66"/>
    </definedNames>
    <sheetDataSet>
      <sheetData sheetId="0">
        <row r="66">
          <cell r="D66">
            <v>0</v>
          </cell>
          <cell r="E66">
            <v>0</v>
          </cell>
          <cell r="F66">
            <v>0</v>
          </cell>
          <cell r="G66">
            <v>0</v>
          </cell>
          <cell r="H66">
            <v>0</v>
          </cell>
          <cell r="I66">
            <v>0</v>
          </cell>
          <cell r="J66">
            <v>0</v>
          </cell>
          <cell r="K66">
            <v>0</v>
          </cell>
          <cell r="L66">
            <v>0</v>
          </cell>
          <cell r="M66">
            <v>0</v>
          </cell>
        </row>
        <row r="120">
          <cell r="L12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Worksheet A"/>
      <sheetName val="Worksheet B"/>
      <sheetName val="Worksheet C"/>
      <sheetName val="Worksheet C2"/>
      <sheetName val="Worksheet D"/>
      <sheetName val="Wrksht E thru G"/>
      <sheetName val="Worksheet H"/>
      <sheetName val="Worksheet I"/>
      <sheetName val="Worksheet J"/>
      <sheetName val="Worksheet K"/>
      <sheetName val="Worksheet K2"/>
      <sheetName val="Worksheet L"/>
      <sheetName val="Worksheet M"/>
      <sheetName val="Worksheet O"/>
      <sheetName val="Worksheet S"/>
      <sheetName val="Instructions"/>
    </sheetNames>
    <definedNames>
      <definedName name="ConsolIncrTransCosts" refersTo="=Wrksht E thru G!$K$31"/>
      <definedName name="DAA912BudgFY" refersTo="=Worksheet H!$P$53"/>
      <definedName name="DAA912Reduction" refersTo="=Worksheet H!$P$54"/>
      <definedName name="PSDDAAK8BudgFY" refersTo="=Worksheet H!$P$57"/>
      <definedName name="PSDDAAK8BudgFYRed" refersTo="=Worksheet H!$P$58"/>
      <definedName name="RCLBudgFY" refersTo="=Wrksht E thru G!$K$26"/>
      <definedName name="RCLBudgFYplusTransCost" refersTo="=Wrksht E thru G!$K$34"/>
      <definedName name="RemActAllowBBC" refersTo="=Worksheet M!$O$46"/>
      <definedName name="TuitOutDebtServ" refersTo="=Worksheet O!$J$34"/>
      <definedName name="UnexpBudgPerfPay" refersTo="=Worksheet M!$O$30"/>
    </definedNames>
    <sheetDataSet>
      <sheetData sheetId="6">
        <row r="26">
          <cell r="K26">
            <v>186604949.24</v>
          </cell>
        </row>
        <row r="31">
          <cell r="K31">
            <v>0</v>
          </cell>
        </row>
        <row r="34">
          <cell r="J34" t="str">
            <v>$</v>
          </cell>
          <cell r="K34">
            <v>0</v>
          </cell>
        </row>
      </sheetData>
      <sheetData sheetId="7">
        <row r="26">
          <cell r="K26" t="str">
            <v>+</v>
          </cell>
        </row>
        <row r="30">
          <cell r="O30" t="str">
            <v>$</v>
          </cell>
        </row>
        <row r="53">
          <cell r="P53">
            <v>6864611.01</v>
          </cell>
        </row>
        <row r="54">
          <cell r="P54">
            <v>5547151.84</v>
          </cell>
        </row>
        <row r="57">
          <cell r="P57">
            <v>9680778.24</v>
          </cell>
        </row>
        <row r="58">
          <cell r="P58">
            <v>8943840.43</v>
          </cell>
        </row>
      </sheetData>
      <sheetData sheetId="13">
        <row r="26">
          <cell r="K26" t="str">
            <v>$</v>
          </cell>
        </row>
        <row r="30">
          <cell r="O30">
            <v>0</v>
          </cell>
        </row>
        <row r="46">
          <cell r="O46">
            <v>3460077</v>
          </cell>
        </row>
      </sheetData>
      <sheetData sheetId="14">
        <row r="34">
          <cell r="J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ckie.mattinen@gilbertschools.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TruthinTaxl6" TargetMode="External" /><Relationship Id="rId2" Type="http://schemas.openxmlformats.org/officeDocument/2006/relationships/hyperlink" Target="TruthinTaxl7" TargetMode="External" /><Relationship Id="rId3" Type="http://schemas.openxmlformats.org/officeDocument/2006/relationships/hyperlink" Target="TruthinTaxl10" TargetMode="External" /><Relationship Id="rId4" Type="http://schemas.openxmlformats.org/officeDocument/2006/relationships/drawing" Target="../drawings/drawing11.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zed.gov/finance/certificates-of-educational-convenience/" TargetMode="External" /><Relationship Id="rId2" Type="http://schemas.openxmlformats.org/officeDocument/2006/relationships/hyperlink" Target="http://www.azed.gov/SchoolFinanceReports/Reports" TargetMode="External" /><Relationship Id="rId3" Type="http://schemas.openxmlformats.org/officeDocument/2006/relationships/hyperlink" Target="http://www.azed.gov/finance/files/2017/05/2018budgetoverrideestimator.xls" TargetMode="Externa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R56"/>
  <sheetViews>
    <sheetView showGridLines="0" tabSelected="1" defaultGridColor="0" view="pageLayout" colorId="7" workbookViewId="0" topLeftCell="A10">
      <selection activeCell="Q33" sqref="Q33"/>
    </sheetView>
  </sheetViews>
  <sheetFormatPr defaultColWidth="12.6640625" defaultRowHeight="15"/>
  <cols>
    <col min="1" max="1" width="6.77734375" style="1" customWidth="1"/>
    <col min="2" max="2" width="10.21484375" style="1" customWidth="1"/>
    <col min="3" max="3" width="10.99609375" style="1" customWidth="1"/>
    <col min="4" max="4" width="9.77734375" style="1" customWidth="1"/>
    <col min="5" max="5" width="2.21484375" style="1" customWidth="1"/>
    <col min="6" max="6" width="9.21484375" style="1" customWidth="1"/>
    <col min="7" max="7" width="9.77734375" style="1" customWidth="1"/>
    <col min="8" max="8" width="10.77734375" style="1" customWidth="1"/>
    <col min="9" max="9" width="2.4453125" style="1" customWidth="1"/>
    <col min="10" max="10" width="2.4453125" style="4" customWidth="1"/>
    <col min="11" max="11" width="2.77734375" style="4" customWidth="1"/>
    <col min="12" max="12" width="12.6640625" style="1" customWidth="1"/>
    <col min="13" max="13" width="10.5546875" style="1" customWidth="1"/>
    <col min="14" max="14" width="11.99609375" style="1" customWidth="1"/>
    <col min="15" max="15" width="10.6640625" style="1" customWidth="1"/>
    <col min="16" max="16" width="11.99609375" style="1" customWidth="1"/>
    <col min="17" max="17" width="9.77734375" style="1" customWidth="1"/>
    <col min="18" max="16384" width="12.6640625" style="1" customWidth="1"/>
  </cols>
  <sheetData>
    <row r="1" spans="1:17" ht="15.75">
      <c r="A1" s="105"/>
      <c r="B1" s="457" t="s">
        <v>114</v>
      </c>
      <c r="C1" s="1344" t="s">
        <v>818</v>
      </c>
      <c r="D1" s="1345"/>
      <c r="E1" s="1345"/>
      <c r="F1" s="1345"/>
      <c r="G1" s="457" t="s">
        <v>115</v>
      </c>
      <c r="H1" s="1344" t="s">
        <v>817</v>
      </c>
      <c r="I1" s="1344"/>
      <c r="J1" s="1344"/>
      <c r="K1" s="1344"/>
      <c r="L1" s="105"/>
      <c r="M1" s="105"/>
      <c r="N1" s="105"/>
      <c r="O1" s="105"/>
      <c r="P1" s="457" t="s">
        <v>116</v>
      </c>
      <c r="Q1" s="508" t="s">
        <v>819</v>
      </c>
    </row>
    <row r="2" spans="1:18" ht="12" customHeight="1">
      <c r="A2" s="105"/>
      <c r="B2" s="105"/>
      <c r="C2" s="105"/>
      <c r="D2" s="105"/>
      <c r="E2" s="105"/>
      <c r="F2" s="105"/>
      <c r="G2" s="105"/>
      <c r="H2" s="105"/>
      <c r="I2" s="101"/>
      <c r="J2" s="169"/>
      <c r="K2" s="101"/>
      <c r="L2" s="105"/>
      <c r="M2" s="105"/>
      <c r="N2" s="105"/>
      <c r="O2" s="105"/>
      <c r="P2" s="105"/>
      <c r="Q2" s="105"/>
      <c r="R2" s="689" t="e">
        <f>0/0</f>
        <v>#DIV/0!</v>
      </c>
    </row>
    <row r="3" spans="1:18" ht="15.75">
      <c r="A3" s="1347" t="s">
        <v>639</v>
      </c>
      <c r="B3" s="1347"/>
      <c r="C3" s="1347"/>
      <c r="D3" s="1347"/>
      <c r="E3" s="1347"/>
      <c r="F3" s="1347"/>
      <c r="G3" s="1347"/>
      <c r="H3" s="1347"/>
      <c r="I3" s="1347"/>
      <c r="K3" s="127" t="s">
        <v>580</v>
      </c>
      <c r="L3" s="298"/>
      <c r="M3" s="298"/>
      <c r="N3" s="664"/>
      <c r="O3" s="298"/>
      <c r="P3" s="298"/>
      <c r="Q3" s="298"/>
      <c r="R3" s="796"/>
    </row>
    <row r="4" spans="1:17" ht="15.75">
      <c r="A4" s="1348" t="s">
        <v>117</v>
      </c>
      <c r="B4" s="1348"/>
      <c r="C4" s="1348"/>
      <c r="D4" s="1348"/>
      <c r="E4" s="1348"/>
      <c r="F4" s="1348"/>
      <c r="G4" s="1348"/>
      <c r="H4" s="1348"/>
      <c r="I4" s="1349"/>
      <c r="J4" s="104"/>
      <c r="K4" s="127" t="s">
        <v>118</v>
      </c>
      <c r="L4" s="552" t="s">
        <v>664</v>
      </c>
      <c r="M4" s="664"/>
      <c r="N4" s="664"/>
      <c r="O4" s="326">
        <v>225200228</v>
      </c>
      <c r="P4" s="298"/>
      <c r="Q4" s="299"/>
    </row>
    <row r="5" spans="1:17" ht="15.75">
      <c r="A5" s="1348" t="s">
        <v>123</v>
      </c>
      <c r="B5" s="1348"/>
      <c r="C5" s="1348"/>
      <c r="D5" s="1348"/>
      <c r="E5" s="1348"/>
      <c r="F5" s="1348"/>
      <c r="G5" s="1348"/>
      <c r="H5" s="1348"/>
      <c r="I5" s="1349"/>
      <c r="J5" s="104"/>
      <c r="K5" s="105" t="s">
        <v>120</v>
      </c>
      <c r="L5" s="105" t="s">
        <v>640</v>
      </c>
      <c r="M5" s="105"/>
      <c r="N5" s="517"/>
      <c r="O5" s="105"/>
      <c r="P5" s="105"/>
      <c r="Q5" s="105"/>
    </row>
    <row r="6" spans="1:17" ht="15.75">
      <c r="A6" s="1348" t="s">
        <v>32</v>
      </c>
      <c r="B6" s="1348"/>
      <c r="C6" s="1348"/>
      <c r="D6" s="1348"/>
      <c r="E6" s="1348"/>
      <c r="F6" s="1348"/>
      <c r="G6" s="1348"/>
      <c r="H6" s="1348"/>
      <c r="I6" s="1349"/>
      <c r="J6" s="104"/>
      <c r="K6" s="105"/>
      <c r="L6" s="105" t="s">
        <v>121</v>
      </c>
      <c r="M6" s="128" t="s">
        <v>20</v>
      </c>
      <c r="N6" s="288">
        <f>19486662</f>
        <v>19486662</v>
      </c>
      <c r="O6" s="105"/>
      <c r="P6" s="105"/>
      <c r="Q6" s="105"/>
    </row>
    <row r="7" spans="1:17" ht="15.75" customHeight="1">
      <c r="A7" s="350"/>
      <c r="B7" s="350"/>
      <c r="C7" s="350"/>
      <c r="D7" s="350"/>
      <c r="E7" s="350"/>
      <c r="F7" s="350"/>
      <c r="G7" s="350"/>
      <c r="H7" s="350"/>
      <c r="I7" s="350"/>
      <c r="J7" s="104"/>
      <c r="K7" s="105"/>
      <c r="L7" s="105" t="s">
        <v>122</v>
      </c>
      <c r="M7" s="128" t="s">
        <v>21</v>
      </c>
      <c r="N7" s="288">
        <v>15154519</v>
      </c>
      <c r="O7" s="105"/>
      <c r="P7" s="105"/>
      <c r="Q7" s="105"/>
    </row>
    <row r="8" spans="1:17" ht="15.75">
      <c r="A8" s="354"/>
      <c r="B8" s="354"/>
      <c r="C8" s="1346" t="s">
        <v>832</v>
      </c>
      <c r="D8" s="1346"/>
      <c r="E8" s="1346"/>
      <c r="F8" s="1346"/>
      <c r="G8" s="1346"/>
      <c r="H8" s="354"/>
      <c r="I8" s="298"/>
      <c r="J8" s="104"/>
      <c r="K8" s="105"/>
      <c r="L8" s="105" t="s">
        <v>124</v>
      </c>
      <c r="M8" s="128" t="s">
        <v>22</v>
      </c>
      <c r="N8" s="288">
        <v>105222420</v>
      </c>
      <c r="O8" s="105"/>
      <c r="P8" s="105"/>
      <c r="Q8" s="105"/>
    </row>
    <row r="9" spans="1:17" ht="15.75">
      <c r="A9" s="373"/>
      <c r="B9" s="373"/>
      <c r="C9" s="1353" t="s">
        <v>44</v>
      </c>
      <c r="D9" s="1353"/>
      <c r="E9" s="1353"/>
      <c r="F9" s="1353"/>
      <c r="G9" s="1353"/>
      <c r="H9" s="373"/>
      <c r="I9" s="498"/>
      <c r="J9" s="104"/>
      <c r="K9" s="105"/>
      <c r="L9" s="105" t="s">
        <v>125</v>
      </c>
      <c r="M9" s="128" t="s">
        <v>23</v>
      </c>
      <c r="N9" s="288">
        <v>11753437</v>
      </c>
      <c r="O9" s="105"/>
      <c r="P9" s="105"/>
      <c r="Q9" s="105"/>
    </row>
    <row r="10" spans="1:17" ht="16.5" thickBot="1">
      <c r="A10" s="1361" t="s">
        <v>129</v>
      </c>
      <c r="B10" s="1362"/>
      <c r="C10" s="1362"/>
      <c r="D10" s="1362"/>
      <c r="E10" s="1362"/>
      <c r="F10" s="1362"/>
      <c r="G10" s="1362"/>
      <c r="H10" s="1362"/>
      <c r="I10" s="1363"/>
      <c r="J10" s="104"/>
      <c r="K10" s="105"/>
      <c r="L10" s="105" t="s">
        <v>126</v>
      </c>
      <c r="M10" s="128" t="s">
        <v>119</v>
      </c>
      <c r="N10" s="302">
        <f>SUM(N6:N9)</f>
        <v>151617038</v>
      </c>
      <c r="O10" s="105"/>
      <c r="P10" s="105"/>
      <c r="Q10" s="105"/>
    </row>
    <row r="11" spans="1:17" ht="16.5" thickTop="1">
      <c r="A11" s="1362"/>
      <c r="B11" s="1362"/>
      <c r="C11" s="1362"/>
      <c r="D11" s="1362"/>
      <c r="E11" s="1362"/>
      <c r="F11" s="1362"/>
      <c r="G11" s="1362"/>
      <c r="H11" s="1362"/>
      <c r="I11" s="1363"/>
      <c r="J11" s="104"/>
      <c r="K11" s="127" t="s">
        <v>127</v>
      </c>
      <c r="L11" s="889" t="s">
        <v>562</v>
      </c>
      <c r="M11" s="888"/>
      <c r="N11" s="888"/>
      <c r="O11" s="888"/>
      <c r="P11" s="105"/>
      <c r="Q11" s="105"/>
    </row>
    <row r="12" spans="1:17" ht="15" customHeight="1">
      <c r="A12" s="1347" t="s">
        <v>641</v>
      </c>
      <c r="B12" s="1347"/>
      <c r="C12" s="1347"/>
      <c r="D12" s="1347"/>
      <c r="E12" s="1347"/>
      <c r="F12" s="1347"/>
      <c r="G12" s="1347"/>
      <c r="H12" s="1347"/>
      <c r="I12" s="1366"/>
      <c r="J12" s="104"/>
      <c r="K12" s="105"/>
      <c r="L12" s="105"/>
      <c r="M12" s="105"/>
      <c r="N12" s="678" t="s">
        <v>665</v>
      </c>
      <c r="O12" s="105"/>
      <c r="P12" s="678" t="s">
        <v>642</v>
      </c>
      <c r="Q12" s="105"/>
    </row>
    <row r="13" spans="1:17" ht="15.75">
      <c r="A13" s="105"/>
      <c r="B13" s="350"/>
      <c r="C13" s="127" t="s">
        <v>45</v>
      </c>
      <c r="D13" s="350"/>
      <c r="E13" s="1364">
        <v>42899</v>
      </c>
      <c r="F13" s="1364"/>
      <c r="G13" s="350"/>
      <c r="H13" s="105"/>
      <c r="I13" s="105"/>
      <c r="J13" s="104"/>
      <c r="K13" s="105"/>
      <c r="L13" s="105" t="s">
        <v>351</v>
      </c>
      <c r="M13" s="105"/>
      <c r="N13" s="328">
        <v>4.862</v>
      </c>
      <c r="O13" s="303"/>
      <c r="P13" s="328">
        <v>4.3061</v>
      </c>
      <c r="Q13" s="105"/>
    </row>
    <row r="14" spans="1:17" ht="15.75">
      <c r="A14" s="105"/>
      <c r="B14" s="350"/>
      <c r="C14" s="127" t="s">
        <v>46</v>
      </c>
      <c r="D14" s="350"/>
      <c r="E14" s="1358">
        <v>42913</v>
      </c>
      <c r="F14" s="1358"/>
      <c r="G14" s="350"/>
      <c r="H14" s="105"/>
      <c r="I14" s="105"/>
      <c r="J14" s="104"/>
      <c r="K14" s="105"/>
      <c r="L14" s="105" t="s">
        <v>352</v>
      </c>
      <c r="M14" s="105"/>
      <c r="N14" s="329"/>
      <c r="O14" s="305"/>
      <c r="P14" s="304"/>
      <c r="Q14" s="105"/>
    </row>
    <row r="15" spans="1:17" ht="15.75">
      <c r="A15" s="105"/>
      <c r="B15" s="350"/>
      <c r="C15" s="127" t="s">
        <v>47</v>
      </c>
      <c r="D15" s="350"/>
      <c r="E15" s="1358">
        <v>43403</v>
      </c>
      <c r="F15" s="1358"/>
      <c r="G15" s="350"/>
      <c r="H15" s="169"/>
      <c r="I15" s="105"/>
      <c r="J15" s="104"/>
      <c r="K15" s="105"/>
      <c r="L15" s="105" t="s">
        <v>377</v>
      </c>
      <c r="M15" s="105"/>
      <c r="N15" s="368">
        <v>1.0288</v>
      </c>
      <c r="O15" s="303"/>
      <c r="P15" s="335">
        <v>0.9846</v>
      </c>
      <c r="Q15" s="105"/>
    </row>
    <row r="16" spans="1:17" ht="15.75">
      <c r="A16" s="105"/>
      <c r="B16" s="350"/>
      <c r="C16" s="350"/>
      <c r="D16" s="350"/>
      <c r="E16" s="1360" t="s">
        <v>48</v>
      </c>
      <c r="F16" s="1360"/>
      <c r="G16" s="350"/>
      <c r="H16" s="105"/>
      <c r="I16" s="105"/>
      <c r="J16" s="104"/>
      <c r="K16" s="105"/>
      <c r="L16" s="517" t="s">
        <v>389</v>
      </c>
      <c r="M16" s="105"/>
      <c r="N16" s="358">
        <v>0</v>
      </c>
      <c r="O16" s="303"/>
      <c r="P16" s="327">
        <v>0</v>
      </c>
      <c r="Q16" s="105"/>
    </row>
    <row r="17" spans="1:17" ht="15.75" customHeight="1">
      <c r="A17" s="1365" t="s">
        <v>778</v>
      </c>
      <c r="B17" s="1365"/>
      <c r="C17" s="1365"/>
      <c r="D17" s="1365"/>
      <c r="E17" s="1365"/>
      <c r="F17" s="1365"/>
      <c r="G17" s="1365"/>
      <c r="H17" s="1365"/>
      <c r="I17" s="1235"/>
      <c r="J17" s="104"/>
      <c r="K17" s="105"/>
      <c r="L17" s="105" t="s">
        <v>354</v>
      </c>
      <c r="M17" s="105"/>
      <c r="N17" s="358">
        <v>0</v>
      </c>
      <c r="O17" s="303"/>
      <c r="P17" s="327">
        <v>0</v>
      </c>
      <c r="Q17" s="105"/>
    </row>
    <row r="18" spans="1:17" ht="15.75">
      <c r="A18" s="1365"/>
      <c r="B18" s="1365"/>
      <c r="C18" s="1365"/>
      <c r="D18" s="1365"/>
      <c r="E18" s="1365"/>
      <c r="F18" s="1365"/>
      <c r="G18" s="1365"/>
      <c r="H18" s="1365"/>
      <c r="I18" s="1235"/>
      <c r="J18" s="104"/>
      <c r="K18" s="105"/>
      <c r="L18" s="127" t="s">
        <v>355</v>
      </c>
      <c r="M18" s="298"/>
      <c r="N18" s="358">
        <v>0</v>
      </c>
      <c r="O18" s="303"/>
      <c r="P18" s="327">
        <v>0</v>
      </c>
      <c r="Q18" s="105"/>
    </row>
    <row r="19" spans="1:17" ht="15.75">
      <c r="A19" s="350"/>
      <c r="B19" s="350"/>
      <c r="C19" s="1359" t="s">
        <v>827</v>
      </c>
      <c r="D19" s="1359"/>
      <c r="E19" s="105"/>
      <c r="F19" s="1359"/>
      <c r="G19" s="1359"/>
      <c r="H19" s="350"/>
      <c r="I19" s="350"/>
      <c r="J19" s="104"/>
      <c r="K19" s="105"/>
      <c r="L19" s="127" t="s">
        <v>356</v>
      </c>
      <c r="M19" s="105"/>
      <c r="N19" s="358">
        <v>1.047</v>
      </c>
      <c r="O19" s="303"/>
      <c r="P19" s="327">
        <v>1.1334</v>
      </c>
      <c r="Q19" s="105"/>
    </row>
    <row r="20" spans="1:17" ht="15.75">
      <c r="A20" s="105"/>
      <c r="B20" s="350"/>
      <c r="C20" s="1367" t="s">
        <v>828</v>
      </c>
      <c r="D20" s="1367"/>
      <c r="E20" s="105"/>
      <c r="F20" s="1367"/>
      <c r="G20" s="1367"/>
      <c r="H20" s="105"/>
      <c r="I20" s="105"/>
      <c r="J20" s="104"/>
      <c r="K20" s="169"/>
      <c r="L20" s="517" t="s">
        <v>376</v>
      </c>
      <c r="M20" s="517"/>
      <c r="N20" s="718">
        <v>0</v>
      </c>
      <c r="O20" s="517"/>
      <c r="P20" s="718">
        <v>0</v>
      </c>
      <c r="Q20" s="105"/>
    </row>
    <row r="21" spans="1:17" ht="16.5" thickBot="1">
      <c r="A21" s="105"/>
      <c r="B21" s="350"/>
      <c r="C21" s="1367" t="s">
        <v>829</v>
      </c>
      <c r="D21" s="1367"/>
      <c r="E21" s="105"/>
      <c r="F21" s="1367"/>
      <c r="G21" s="1367"/>
      <c r="H21" s="105"/>
      <c r="I21" s="105"/>
      <c r="J21" s="104"/>
      <c r="K21" s="105"/>
      <c r="L21" s="105" t="s">
        <v>18</v>
      </c>
      <c r="M21" s="105"/>
      <c r="N21" s="711">
        <f>SUM(N15:N20)</f>
        <v>2.0758</v>
      </c>
      <c r="O21" s="105"/>
      <c r="P21" s="711">
        <f>SUM(P15:P20)</f>
        <v>2.118</v>
      </c>
      <c r="Q21" s="298"/>
    </row>
    <row r="22" spans="1:17" ht="16.5" thickTop="1">
      <c r="A22" s="105"/>
      <c r="B22" s="350"/>
      <c r="C22" s="1367" t="s">
        <v>830</v>
      </c>
      <c r="D22" s="1367"/>
      <c r="E22" s="105"/>
      <c r="F22" s="1367"/>
      <c r="G22" s="1367"/>
      <c r="H22" s="105"/>
      <c r="I22" s="105"/>
      <c r="J22" s="104"/>
      <c r="K22" s="127" t="s">
        <v>130</v>
      </c>
      <c r="L22" s="105" t="s">
        <v>364</v>
      </c>
      <c r="M22" s="105"/>
      <c r="N22" s="105"/>
      <c r="O22" s="105"/>
      <c r="P22" s="105"/>
      <c r="Q22" s="105"/>
    </row>
    <row r="23" spans="1:17" ht="15.75">
      <c r="A23" s="105"/>
      <c r="B23" s="350"/>
      <c r="C23" s="1367" t="s">
        <v>831</v>
      </c>
      <c r="D23" s="1367"/>
      <c r="E23" s="105"/>
      <c r="F23" s="1367"/>
      <c r="G23" s="1367"/>
      <c r="H23" s="105"/>
      <c r="I23" s="105"/>
      <c r="J23" s="104"/>
      <c r="K23" s="128" t="s">
        <v>118</v>
      </c>
      <c r="L23" s="517" t="s">
        <v>626</v>
      </c>
      <c r="M23" s="517"/>
      <c r="N23" s="517"/>
      <c r="O23" s="105"/>
      <c r="P23" s="128" t="s">
        <v>119</v>
      </c>
      <c r="Q23" s="301">
        <f>GBLBudgFY</f>
        <v>208177511</v>
      </c>
    </row>
    <row r="24" spans="1:17" ht="15.75">
      <c r="A24" s="105"/>
      <c r="B24" s="350"/>
      <c r="C24" s="1367"/>
      <c r="D24" s="1367"/>
      <c r="E24" s="105"/>
      <c r="F24" s="1367"/>
      <c r="G24" s="1367"/>
      <c r="H24" s="105"/>
      <c r="I24" s="105"/>
      <c r="J24" s="104"/>
      <c r="K24" s="515" t="s">
        <v>120</v>
      </c>
      <c r="L24" s="517" t="s">
        <v>393</v>
      </c>
      <c r="M24" s="517"/>
      <c r="N24" s="517"/>
      <c r="O24" s="517"/>
      <c r="P24" s="128" t="s">
        <v>119</v>
      </c>
      <c r="Q24" s="301">
        <f>UCBLBudgFY</f>
        <v>5059190</v>
      </c>
    </row>
    <row r="25" spans="1:17" ht="15.75">
      <c r="A25" s="105"/>
      <c r="B25" s="350"/>
      <c r="C25" s="1367"/>
      <c r="D25" s="1367"/>
      <c r="E25" s="105"/>
      <c r="F25" s="1367"/>
      <c r="G25" s="1367"/>
      <c r="H25" s="105"/>
      <c r="I25" s="105"/>
      <c r="J25" s="104"/>
      <c r="K25" s="242" t="s">
        <v>127</v>
      </c>
      <c r="L25" s="517" t="s">
        <v>551</v>
      </c>
      <c r="M25" s="105"/>
      <c r="N25" s="105"/>
      <c r="O25" s="105"/>
      <c r="P25" s="128" t="s">
        <v>119</v>
      </c>
      <c r="Q25" s="301">
        <f>SUM(Q23:Q24)</f>
        <v>213236701</v>
      </c>
    </row>
    <row r="26" spans="1:17" ht="15.75">
      <c r="A26" s="105"/>
      <c r="B26" s="350"/>
      <c r="C26" s="1372" t="s">
        <v>138</v>
      </c>
      <c r="D26" s="1372"/>
      <c r="E26" s="306"/>
      <c r="F26" s="1372" t="s">
        <v>138</v>
      </c>
      <c r="G26" s="1372"/>
      <c r="H26" s="105"/>
      <c r="I26" s="105"/>
      <c r="J26" s="104"/>
      <c r="K26" s="242" t="s">
        <v>131</v>
      </c>
      <c r="L26" s="105" t="s">
        <v>598</v>
      </c>
      <c r="M26" s="105"/>
      <c r="N26" s="105"/>
      <c r="O26" s="105"/>
      <c r="P26" s="128" t="s">
        <v>119</v>
      </c>
      <c r="Q26" s="301">
        <f>TotFedProjFundBudgFY</f>
        <v>16784072</v>
      </c>
    </row>
    <row r="27" spans="1:17" ht="15.75">
      <c r="A27" s="105"/>
      <c r="B27" s="350"/>
      <c r="C27" s="350"/>
      <c r="D27" s="350"/>
      <c r="E27" s="350"/>
      <c r="F27" s="350"/>
      <c r="G27" s="350"/>
      <c r="H27" s="105"/>
      <c r="I27" s="105"/>
      <c r="J27" s="104"/>
      <c r="K27" s="242" t="s">
        <v>132</v>
      </c>
      <c r="L27" s="517" t="s">
        <v>402</v>
      </c>
      <c r="M27" s="517"/>
      <c r="N27" s="517"/>
      <c r="O27" s="517"/>
      <c r="P27" s="128" t="s">
        <v>119</v>
      </c>
      <c r="Q27" s="301">
        <f>F378BudgFY</f>
        <v>0</v>
      </c>
    </row>
    <row r="28" spans="1:17" ht="16.5" thickBot="1">
      <c r="A28" s="105"/>
      <c r="B28" s="1369" t="s">
        <v>728</v>
      </c>
      <c r="C28" s="1369"/>
      <c r="D28" s="1369"/>
      <c r="E28" s="1369"/>
      <c r="F28" s="1369"/>
      <c r="G28" s="1369"/>
      <c r="H28" s="1369"/>
      <c r="I28" s="105"/>
      <c r="J28" s="104"/>
      <c r="K28" s="242" t="s">
        <v>133</v>
      </c>
      <c r="L28" s="105" t="s">
        <v>552</v>
      </c>
      <c r="M28" s="105"/>
      <c r="N28" s="517"/>
      <c r="O28" s="105"/>
      <c r="P28" s="128" t="s">
        <v>119</v>
      </c>
      <c r="Q28" s="302">
        <f>SUM(Q25:Q26)-Q27</f>
        <v>230020773</v>
      </c>
    </row>
    <row r="29" spans="1:17" ht="16.5" customHeight="1" thickTop="1">
      <c r="A29" s="105"/>
      <c r="B29" s="1371">
        <v>43404</v>
      </c>
      <c r="C29" s="1371"/>
      <c r="D29" s="1370" t="s">
        <v>49</v>
      </c>
      <c r="E29" s="1370"/>
      <c r="F29" s="1370"/>
      <c r="G29" s="1370"/>
      <c r="H29" s="351"/>
      <c r="I29" s="352"/>
      <c r="J29" s="169"/>
      <c r="K29" s="105" t="s">
        <v>135</v>
      </c>
      <c r="L29" s="105" t="s">
        <v>137</v>
      </c>
      <c r="M29" s="105"/>
      <c r="N29" s="105"/>
      <c r="O29" s="105"/>
      <c r="P29" s="105"/>
      <c r="Q29" s="330"/>
    </row>
    <row r="30" spans="1:17" ht="16.5" customHeight="1">
      <c r="A30" s="105"/>
      <c r="B30" s="1353" t="s">
        <v>48</v>
      </c>
      <c r="C30" s="1353"/>
      <c r="D30" s="372"/>
      <c r="E30" s="350"/>
      <c r="F30" s="353"/>
      <c r="G30" s="353"/>
      <c r="H30" s="350"/>
      <c r="I30" s="105"/>
      <c r="J30" s="104"/>
      <c r="K30" s="128" t="s">
        <v>118</v>
      </c>
      <c r="L30" s="105" t="s">
        <v>729</v>
      </c>
      <c r="M30" s="105"/>
      <c r="N30" s="517"/>
      <c r="O30" s="105"/>
      <c r="P30" s="128" t="s">
        <v>119</v>
      </c>
      <c r="Q30" s="301">
        <f>F001TotalExp</f>
        <v>208177511</v>
      </c>
    </row>
    <row r="31" spans="1:17" ht="14.25" customHeight="1">
      <c r="A31" s="105"/>
      <c r="B31" s="350"/>
      <c r="C31" s="350"/>
      <c r="D31" s="350"/>
      <c r="E31" s="353"/>
      <c r="F31" s="350"/>
      <c r="G31" s="350"/>
      <c r="H31" s="353"/>
      <c r="I31" s="105"/>
      <c r="J31" s="104"/>
      <c r="K31" s="128" t="s">
        <v>120</v>
      </c>
      <c r="L31" s="105" t="s">
        <v>173</v>
      </c>
      <c r="M31" s="105"/>
      <c r="N31" s="105"/>
      <c r="O31" s="105"/>
      <c r="P31" s="128" t="s">
        <v>119</v>
      </c>
      <c r="Q31" s="301">
        <f>F610TotalBudgFY</f>
        <v>5059190</v>
      </c>
    </row>
    <row r="32" spans="1:15" ht="15.75" customHeight="1">
      <c r="A32" s="105"/>
      <c r="B32" s="1368"/>
      <c r="C32" s="1368"/>
      <c r="D32" s="1368"/>
      <c r="E32" s="299"/>
      <c r="F32" s="1359"/>
      <c r="G32" s="1359"/>
      <c r="H32" s="1359"/>
      <c r="I32" s="105"/>
      <c r="J32" s="104"/>
      <c r="K32" s="732" t="s">
        <v>127</v>
      </c>
      <c r="L32" s="127" t="s">
        <v>554</v>
      </c>
      <c r="M32" s="105"/>
      <c r="N32" s="517"/>
      <c r="O32" s="105"/>
    </row>
    <row r="33" spans="1:17" ht="16.5" thickBot="1">
      <c r="A33" s="105"/>
      <c r="B33" s="1353" t="s">
        <v>397</v>
      </c>
      <c r="C33" s="1353"/>
      <c r="D33" s="1353"/>
      <c r="E33" s="350"/>
      <c r="F33" s="1354" t="s">
        <v>398</v>
      </c>
      <c r="G33" s="1354"/>
      <c r="H33" s="1354"/>
      <c r="I33" s="105"/>
      <c r="J33" s="104"/>
      <c r="K33" s="242"/>
      <c r="L33" s="306" t="s">
        <v>553</v>
      </c>
      <c r="M33" s="1011"/>
      <c r="N33" s="307"/>
      <c r="O33" s="307"/>
      <c r="P33" s="128" t="s">
        <v>119</v>
      </c>
      <c r="Q33" s="308">
        <f>SUM(Q30:Q31)</f>
        <v>213236701</v>
      </c>
    </row>
    <row r="34" spans="1:17" ht="16.5" thickTop="1">
      <c r="A34" s="105"/>
      <c r="B34" s="373"/>
      <c r="C34" s="373"/>
      <c r="D34" s="373"/>
      <c r="E34" s="350"/>
      <c r="F34" s="373"/>
      <c r="G34" s="373"/>
      <c r="H34" s="373"/>
      <c r="I34" s="105"/>
      <c r="J34" s="104"/>
      <c r="K34" s="1176"/>
      <c r="L34" s="552"/>
      <c r="M34" s="1011"/>
      <c r="N34" s="1011"/>
      <c r="O34" s="1148"/>
      <c r="P34" s="678"/>
      <c r="Q34" s="678"/>
    </row>
    <row r="35" spans="1:17" ht="15" customHeight="1">
      <c r="A35" s="105"/>
      <c r="B35" s="1346" t="s">
        <v>823</v>
      </c>
      <c r="C35" s="1346"/>
      <c r="D35" s="1346"/>
      <c r="E35" s="552"/>
      <c r="F35" s="1346" t="s">
        <v>833</v>
      </c>
      <c r="G35" s="1346"/>
      <c r="H35" s="1346"/>
      <c r="I35" s="105"/>
      <c r="J35" s="104"/>
      <c r="K35" s="732"/>
      <c r="L35" s="690"/>
      <c r="M35" s="517"/>
      <c r="N35" s="517"/>
      <c r="O35" s="1149"/>
      <c r="P35" s="1075"/>
      <c r="Q35" s="1075"/>
    </row>
    <row r="36" spans="1:17" ht="15" customHeight="1">
      <c r="A36" s="105"/>
      <c r="B36" s="1356" t="s">
        <v>602</v>
      </c>
      <c r="C36" s="1356"/>
      <c r="D36" s="1356"/>
      <c r="E36" s="516"/>
      <c r="F36" s="1357" t="s">
        <v>603</v>
      </c>
      <c r="G36" s="1357"/>
      <c r="H36" s="1357"/>
      <c r="I36" s="105"/>
      <c r="J36" s="104"/>
      <c r="K36" s="732"/>
      <c r="L36" s="552"/>
      <c r="M36" s="1011"/>
      <c r="N36" s="1011"/>
      <c r="O36" s="1150"/>
      <c r="P36" s="1075"/>
      <c r="Q36" s="1075"/>
    </row>
    <row r="37" spans="1:17" ht="15" customHeight="1">
      <c r="A37" s="350"/>
      <c r="B37" s="373"/>
      <c r="C37" s="373"/>
      <c r="D37" s="373"/>
      <c r="E37" s="350"/>
      <c r="F37" s="373"/>
      <c r="G37" s="373"/>
      <c r="H37" s="373"/>
      <c r="I37" s="169"/>
      <c r="J37" s="104"/>
      <c r="K37" s="1033"/>
      <c r="L37" s="517"/>
      <c r="M37" s="517"/>
      <c r="N37" s="517"/>
      <c r="O37" s="1149"/>
      <c r="P37" s="1075"/>
      <c r="Q37" s="1075"/>
    </row>
    <row r="38" spans="1:17" ht="15" customHeight="1">
      <c r="A38" s="105"/>
      <c r="B38" s="1355" t="s">
        <v>50</v>
      </c>
      <c r="C38" s="1355"/>
      <c r="D38" s="1351" t="s">
        <v>824</v>
      </c>
      <c r="E38" s="1351"/>
      <c r="F38" s="1351"/>
      <c r="G38" s="1351"/>
      <c r="H38" s="269"/>
      <c r="I38" s="169"/>
      <c r="J38" s="374"/>
      <c r="K38" s="1033"/>
      <c r="L38" s="517"/>
      <c r="M38" s="517"/>
      <c r="N38" s="517"/>
      <c r="O38" s="1149"/>
      <c r="P38" s="1075"/>
      <c r="Q38" s="1075"/>
    </row>
    <row r="39" spans="1:17" ht="15" customHeight="1">
      <c r="A39" s="689"/>
      <c r="B39" s="387"/>
      <c r="C39" s="127"/>
      <c r="D39" s="373"/>
      <c r="E39" s="373"/>
      <c r="F39" s="373"/>
      <c r="G39" s="1067"/>
      <c r="H39" s="267"/>
      <c r="I39" s="1061"/>
      <c r="J39" s="881"/>
      <c r="K39" s="1032"/>
      <c r="L39" s="331"/>
      <c r="M39" s="169"/>
      <c r="N39" s="169"/>
      <c r="O39" s="1177"/>
      <c r="P39" s="1177"/>
      <c r="Q39" s="169"/>
    </row>
    <row r="40" spans="1:17" ht="15" customHeight="1">
      <c r="A40" s="309"/>
      <c r="B40" s="267" t="s">
        <v>51</v>
      </c>
      <c r="C40" s="1350" t="s">
        <v>826</v>
      </c>
      <c r="D40" s="1350"/>
      <c r="E40" s="350"/>
      <c r="F40" s="349" t="s">
        <v>365</v>
      </c>
      <c r="G40" s="1352" t="s">
        <v>825</v>
      </c>
      <c r="H40" s="1351"/>
      <c r="I40" s="1061"/>
      <c r="J40" s="881"/>
      <c r="K40" s="1032"/>
      <c r="L40" s="169"/>
      <c r="M40" s="169"/>
      <c r="N40" s="169"/>
      <c r="O40" s="1178"/>
      <c r="P40" s="1178"/>
      <c r="Q40" s="169"/>
    </row>
    <row r="41" spans="1:10" ht="15.75" customHeight="1">
      <c r="A41" s="309"/>
      <c r="B41" s="350"/>
      <c r="C41" s="350"/>
      <c r="D41" s="350"/>
      <c r="E41" s="348"/>
      <c r="F41" s="350"/>
      <c r="G41" s="350"/>
      <c r="H41" s="350"/>
      <c r="I41" s="1061"/>
      <c r="J41" s="82"/>
    </row>
    <row r="42" spans="1:8" ht="15.75">
      <c r="A42" s="86"/>
      <c r="B42" s="350"/>
      <c r="C42" s="350"/>
      <c r="D42" s="350"/>
      <c r="E42" s="348"/>
      <c r="F42" s="350"/>
      <c r="G42" s="350"/>
      <c r="H42" s="350"/>
    </row>
    <row r="43" spans="2:8" ht="15.75">
      <c r="B43" s="689"/>
      <c r="C43" s="348"/>
      <c r="D43" s="348"/>
      <c r="E43" s="347"/>
      <c r="F43" s="348"/>
      <c r="G43" s="348"/>
      <c r="H43" s="348"/>
    </row>
    <row r="44" spans="5:8" ht="15.75">
      <c r="E44" s="347"/>
      <c r="F44" s="347"/>
      <c r="G44" s="347"/>
      <c r="H44" s="347"/>
    </row>
    <row r="45" spans="5:8" ht="15.75">
      <c r="E45" s="2"/>
      <c r="F45" s="347"/>
      <c r="G45" s="347"/>
      <c r="H45" s="347"/>
    </row>
    <row r="56" ht="15.75">
      <c r="B56" s="663"/>
    </row>
  </sheetData>
  <sheetProtection sheet="1" formatCells="0" formatColumns="0" formatRows="0"/>
  <mergeCells count="47">
    <mergeCell ref="F21:G21"/>
    <mergeCell ref="F22:G22"/>
    <mergeCell ref="F23:G23"/>
    <mergeCell ref="F26:G26"/>
    <mergeCell ref="C20:D20"/>
    <mergeCell ref="F25:G25"/>
    <mergeCell ref="C21:D21"/>
    <mergeCell ref="C24:D24"/>
    <mergeCell ref="C25:D25"/>
    <mergeCell ref="C26:D26"/>
    <mergeCell ref="F24:G24"/>
    <mergeCell ref="C22:D22"/>
    <mergeCell ref="C23:D23"/>
    <mergeCell ref="F20:G20"/>
    <mergeCell ref="B32:D32"/>
    <mergeCell ref="B30:C30"/>
    <mergeCell ref="F32:H32"/>
    <mergeCell ref="B28:H28"/>
    <mergeCell ref="D29:G29"/>
    <mergeCell ref="B29:C29"/>
    <mergeCell ref="E14:F14"/>
    <mergeCell ref="F19:G19"/>
    <mergeCell ref="C9:G9"/>
    <mergeCell ref="E16:F16"/>
    <mergeCell ref="E15:F15"/>
    <mergeCell ref="A10:I11"/>
    <mergeCell ref="C19:D19"/>
    <mergeCell ref="E13:F13"/>
    <mergeCell ref="A17:H18"/>
    <mergeCell ref="A12:I12"/>
    <mergeCell ref="C40:D40"/>
    <mergeCell ref="D38:G38"/>
    <mergeCell ref="G40:H40"/>
    <mergeCell ref="B33:D33"/>
    <mergeCell ref="F33:H33"/>
    <mergeCell ref="B38:C38"/>
    <mergeCell ref="B35:D35"/>
    <mergeCell ref="B36:D36"/>
    <mergeCell ref="F36:H36"/>
    <mergeCell ref="F35:H35"/>
    <mergeCell ref="C1:F1"/>
    <mergeCell ref="C8:G8"/>
    <mergeCell ref="A3:I3"/>
    <mergeCell ref="A4:I4"/>
    <mergeCell ref="A6:I6"/>
    <mergeCell ref="A5:I5"/>
    <mergeCell ref="H1:K1"/>
  </mergeCells>
  <dataValidations count="3">
    <dataValidation type="textLength" operator="equal" allowBlank="1" showInputMessage="1" showErrorMessage="1" promptTitle="CTD Number" prompt="This cell will only accept a CTD number of exactly 9 digits.  Enter 000 at the end of the district number to fill the places of a school number." sqref="Q1">
      <formula1>9</formula1>
    </dataValidation>
    <dataValidation type="list" allowBlank="1" showInputMessage="1" showErrorMessage="1" prompt="Select the budget version that is applicable to you:  Proposed, Adopted, or Revised." error="Select the budget version from the drop-down list." sqref="C8:G8">
      <formula1>"Proposed, Adopted, Revised #1, Revised #2, Revised #3, Revised #4, Revised #5, Revised #6"</formula1>
    </dataValidation>
    <dataValidation type="date" operator="greaterThanOrEqual" allowBlank="1" showInputMessage="1" showErrorMessage="1" promptTitle="Enter Date as" prompt="MM/DD/YYYY" errorTitle="Date" error="Enter a Valid Date&#10;MM/DD/YYYY" sqref="E13:F15 B29:C29">
      <formula1>42139</formula1>
    </dataValidation>
  </dataValidations>
  <hyperlinks>
    <hyperlink ref="L11:O11" location="TaxRates" display="District Tax Rates for Current and Budget Fiscal Years (A.R.S. §15-903.D.4)"/>
    <hyperlink ref="A17:H18" location="CoverSalaryInc" display="CoverSalaryInc"/>
    <hyperlink ref="G40" r:id="rId1" display="jackie.mattinen@gilbertschools.net"/>
  </hyperlinks>
  <printOptions horizontalCentered="1"/>
  <pageMargins left="0.25" right="0.25" top="0.25" bottom="0.25" header="0" footer="0.25"/>
  <pageSetup fitToHeight="1" fitToWidth="1" horizontalDpi="600" verticalDpi="600" orientation="landscape" paperSize="5" scale="91" r:id="rId3"/>
  <headerFooter alignWithMargins="0">
    <oddFooter>&amp;C&amp;A</oddFooter>
  </headerFooter>
  <ignoredErrors>
    <ignoredError sqref="R2" evalError="1"/>
  </ignoredErrors>
  <drawing r:id="rId2"/>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Q48"/>
  <sheetViews>
    <sheetView showGridLines="0" defaultGridColor="0" view="pageLayout" colorId="22" workbookViewId="0" topLeftCell="A1">
      <selection activeCell="Q33" sqref="Q33"/>
    </sheetView>
  </sheetViews>
  <sheetFormatPr defaultColWidth="9.77734375" defaultRowHeight="15"/>
  <cols>
    <col min="1" max="1" width="16.77734375" style="76" customWidth="1"/>
    <col min="2" max="2" width="26.77734375" style="76" customWidth="1"/>
    <col min="3" max="3" width="2.99609375" style="76" customWidth="1"/>
    <col min="4" max="5" width="5.77734375" style="76" customWidth="1"/>
    <col min="6" max="13" width="10.77734375" style="76" customWidth="1"/>
    <col min="14" max="14" width="6.77734375" style="76" customWidth="1"/>
    <col min="15" max="15" width="3.77734375" style="76" customWidth="1"/>
    <col min="16" max="16" width="3.77734375" style="79" customWidth="1"/>
    <col min="17" max="17" width="9.77734375" style="79" customWidth="1"/>
    <col min="18" max="16384" width="9.77734375" style="82" customWidth="1"/>
  </cols>
  <sheetData>
    <row r="1" spans="1:17" s="4" customFormat="1" ht="12" customHeight="1">
      <c r="A1" s="457" t="s">
        <v>139</v>
      </c>
      <c r="B1" s="1387" t="str">
        <f>Cover!C1</f>
        <v>Gilbert Public Schools</v>
      </c>
      <c r="C1" s="1559"/>
      <c r="D1" s="1559"/>
      <c r="E1" s="1559"/>
      <c r="F1" s="457" t="s">
        <v>140</v>
      </c>
      <c r="G1" s="1387" t="str">
        <f>Cover!H1</f>
        <v>Maricopa</v>
      </c>
      <c r="H1" s="1658"/>
      <c r="I1" s="86"/>
      <c r="J1" s="457" t="s">
        <v>141</v>
      </c>
      <c r="K1" s="554" t="str">
        <f>Cover!Q1</f>
        <v>070241000</v>
      </c>
      <c r="L1" s="341"/>
      <c r="M1" s="637" t="s">
        <v>172</v>
      </c>
      <c r="N1" s="1373" t="str">
        <f>Cover!C8</f>
        <v>Revised #2</v>
      </c>
      <c r="O1" s="1373"/>
      <c r="P1" s="86"/>
      <c r="Q1" s="86"/>
    </row>
    <row r="2" spans="1:17" s="4" customFormat="1" ht="42" customHeight="1">
      <c r="A2" s="1656" t="s">
        <v>711</v>
      </c>
      <c r="B2" s="1657"/>
      <c r="C2" s="1657"/>
      <c r="D2" s="1657"/>
      <c r="E2" s="1657"/>
      <c r="F2" s="1657"/>
      <c r="G2" s="1657"/>
      <c r="H2" s="1657"/>
      <c r="I2" s="1657"/>
      <c r="J2" s="1657"/>
      <c r="K2" s="1657"/>
      <c r="L2" s="1657"/>
      <c r="M2" s="1657"/>
      <c r="N2" s="1657"/>
      <c r="O2" s="155"/>
      <c r="P2" s="155"/>
      <c r="Q2" s="155"/>
    </row>
    <row r="3" spans="1:17" s="4" customFormat="1" ht="12" customHeight="1">
      <c r="A3" s="884"/>
      <c r="B3" s="156"/>
      <c r="C3" s="101"/>
      <c r="D3" s="157"/>
      <c r="E3" s="158"/>
      <c r="F3" s="159"/>
      <c r="G3" s="102" t="s">
        <v>143</v>
      </c>
      <c r="H3" s="102" t="s">
        <v>144</v>
      </c>
      <c r="I3" s="102"/>
      <c r="J3" s="102"/>
      <c r="K3" s="694"/>
      <c r="L3" s="160" t="s">
        <v>145</v>
      </c>
      <c r="M3" s="160"/>
      <c r="N3" s="77"/>
      <c r="O3" s="79"/>
      <c r="P3" s="79"/>
      <c r="Q3" s="79"/>
    </row>
    <row r="4" spans="1:17" s="4" customFormat="1" ht="12" customHeight="1">
      <c r="A4" s="1649" t="s">
        <v>206</v>
      </c>
      <c r="B4" s="1650"/>
      <c r="C4" s="105"/>
      <c r="D4" s="161" t="s">
        <v>498</v>
      </c>
      <c r="E4" s="162"/>
      <c r="F4" s="163" t="s">
        <v>146</v>
      </c>
      <c r="G4" s="106" t="s">
        <v>147</v>
      </c>
      <c r="H4" s="106" t="s">
        <v>148</v>
      </c>
      <c r="I4" s="106" t="s">
        <v>149</v>
      </c>
      <c r="J4" s="106" t="s">
        <v>299</v>
      </c>
      <c r="K4" s="691" t="s">
        <v>150</v>
      </c>
      <c r="L4" s="107" t="s">
        <v>563</v>
      </c>
      <c r="M4" s="163" t="s">
        <v>151</v>
      </c>
      <c r="N4" s="106" t="s">
        <v>152</v>
      </c>
      <c r="O4" s="79"/>
      <c r="P4" s="79"/>
      <c r="Q4" s="79"/>
    </row>
    <row r="5" spans="1:17" s="4" customFormat="1" ht="12" customHeight="1">
      <c r="A5" s="885"/>
      <c r="B5" s="82"/>
      <c r="C5" s="105"/>
      <c r="D5" s="106" t="s">
        <v>563</v>
      </c>
      <c r="E5" s="107" t="s">
        <v>151</v>
      </c>
      <c r="F5" s="163"/>
      <c r="G5" s="108"/>
      <c r="H5" s="106" t="s">
        <v>154</v>
      </c>
      <c r="I5" s="106"/>
      <c r="J5" s="106"/>
      <c r="K5" s="106"/>
      <c r="L5" s="107" t="s">
        <v>382</v>
      </c>
      <c r="M5" s="163" t="s">
        <v>382</v>
      </c>
      <c r="N5" s="106" t="s">
        <v>155</v>
      </c>
      <c r="O5" s="79"/>
      <c r="P5" s="79"/>
      <c r="Q5" s="79"/>
    </row>
    <row r="6" spans="1:17" s="4" customFormat="1" ht="12" customHeight="1">
      <c r="A6" s="886" t="s">
        <v>153</v>
      </c>
      <c r="B6" s="110"/>
      <c r="C6" s="111"/>
      <c r="D6" s="112" t="s">
        <v>382</v>
      </c>
      <c r="E6" s="113" t="s">
        <v>382</v>
      </c>
      <c r="F6" s="164">
        <v>6100</v>
      </c>
      <c r="G6" s="112" t="s">
        <v>157</v>
      </c>
      <c r="H6" s="112" t="s">
        <v>158</v>
      </c>
      <c r="I6" s="112">
        <v>6600</v>
      </c>
      <c r="J6" s="681">
        <v>6700</v>
      </c>
      <c r="K6" s="681" t="s">
        <v>159</v>
      </c>
      <c r="L6" s="675">
        <v>2017</v>
      </c>
      <c r="M6" s="676">
        <v>2018</v>
      </c>
      <c r="N6" s="112" t="s">
        <v>160</v>
      </c>
      <c r="O6" s="79"/>
      <c r="P6" s="79"/>
      <c r="Q6" s="79"/>
    </row>
    <row r="7" spans="1:17" s="4" customFormat="1" ht="13.5" customHeight="1">
      <c r="A7" s="1651" t="s">
        <v>709</v>
      </c>
      <c r="B7" s="1652"/>
      <c r="C7" s="126"/>
      <c r="D7" s="1647">
        <f>[2]!F071F1000Personnel</f>
        <v>0</v>
      </c>
      <c r="E7" s="734"/>
      <c r="F7" s="733"/>
      <c r="G7" s="765"/>
      <c r="H7" s="733"/>
      <c r="I7" s="733"/>
      <c r="J7" s="1644"/>
      <c r="K7" s="765"/>
      <c r="L7" s="1396">
        <f>[2]!F071F1000</f>
        <v>0</v>
      </c>
      <c r="M7" s="1377">
        <f>SUM(F8:K8)</f>
        <v>254490</v>
      </c>
      <c r="N7" s="1654" t="str">
        <f>IF(L7=M7,0,IF(L7&gt;0,(M7-L7)/L7,"--"))</f>
        <v>--</v>
      </c>
      <c r="O7" s="593"/>
      <c r="P7" s="79"/>
      <c r="Q7" s="79"/>
    </row>
    <row r="8" spans="1:17" s="4" customFormat="1" ht="13.5" customHeight="1">
      <c r="A8" s="665" t="s">
        <v>570</v>
      </c>
      <c r="B8" s="331"/>
      <c r="C8" s="117" t="s">
        <v>118</v>
      </c>
      <c r="D8" s="1648"/>
      <c r="E8" s="745">
        <v>3</v>
      </c>
      <c r="F8" s="744">
        <v>134610</v>
      </c>
      <c r="G8" s="753">
        <v>44880</v>
      </c>
      <c r="H8" s="744">
        <v>0</v>
      </c>
      <c r="I8" s="744">
        <v>75000</v>
      </c>
      <c r="J8" s="1645"/>
      <c r="K8" s="753">
        <v>0</v>
      </c>
      <c r="L8" s="1646"/>
      <c r="M8" s="1378"/>
      <c r="N8" s="1655"/>
      <c r="O8" s="592" t="s">
        <v>118</v>
      </c>
      <c r="P8" s="128"/>
      <c r="Q8" s="79"/>
    </row>
    <row r="9" spans="1:17" s="4" customFormat="1" ht="13.5" customHeight="1">
      <c r="A9" s="665" t="s">
        <v>166</v>
      </c>
      <c r="B9" s="331"/>
      <c r="C9" s="117" t="s">
        <v>167</v>
      </c>
      <c r="D9" s="1647">
        <f>[2]!F071F2100Personnel</f>
        <v>0</v>
      </c>
      <c r="E9" s="734"/>
      <c r="F9" s="733"/>
      <c r="G9" s="733"/>
      <c r="H9" s="733"/>
      <c r="I9" s="733"/>
      <c r="J9" s="1644"/>
      <c r="K9" s="765"/>
      <c r="L9" s="1396">
        <f>[2]!F071F2100</f>
        <v>0</v>
      </c>
      <c r="M9" s="1377">
        <f>SUM(F10:K10)</f>
        <v>500</v>
      </c>
      <c r="N9" s="1654" t="str">
        <f>IF(L9=M9,0,IF(L9&gt;0,(M9-L9)/L9,"--"))</f>
        <v>--</v>
      </c>
      <c r="O9" s="592" t="s">
        <v>167</v>
      </c>
      <c r="P9" s="128"/>
      <c r="Q9" s="79"/>
    </row>
    <row r="10" spans="1:17" s="4" customFormat="1" ht="13.5" customHeight="1">
      <c r="A10" s="665" t="s">
        <v>168</v>
      </c>
      <c r="B10" s="331"/>
      <c r="C10" s="117" t="s">
        <v>120</v>
      </c>
      <c r="D10" s="1648"/>
      <c r="E10" s="745">
        <v>0</v>
      </c>
      <c r="F10" s="744">
        <v>0</v>
      </c>
      <c r="G10" s="744">
        <v>0</v>
      </c>
      <c r="H10" s="744">
        <v>500</v>
      </c>
      <c r="I10" s="744">
        <v>0</v>
      </c>
      <c r="J10" s="1645"/>
      <c r="K10" s="753">
        <v>0</v>
      </c>
      <c r="L10" s="1646"/>
      <c r="M10" s="1378"/>
      <c r="N10" s="1655"/>
      <c r="O10" s="592" t="s">
        <v>120</v>
      </c>
      <c r="P10" s="128"/>
      <c r="Q10" s="79"/>
    </row>
    <row r="11" spans="1:17" s="4" customFormat="1" ht="13.5" customHeight="1">
      <c r="A11" s="665" t="s">
        <v>169</v>
      </c>
      <c r="B11" s="331"/>
      <c r="C11" s="117" t="s">
        <v>127</v>
      </c>
      <c r="D11" s="339">
        <f>[2]!F071F2200Personnel</f>
        <v>0</v>
      </c>
      <c r="E11" s="253">
        <v>0</v>
      </c>
      <c r="F11" s="168">
        <v>0</v>
      </c>
      <c r="G11" s="168">
        <v>0</v>
      </c>
      <c r="H11" s="168">
        <v>4752</v>
      </c>
      <c r="I11" s="168">
        <v>0</v>
      </c>
      <c r="J11" s="712"/>
      <c r="K11" s="724">
        <v>0</v>
      </c>
      <c r="L11" s="337">
        <f>[2]!F071F2200</f>
        <v>0</v>
      </c>
      <c r="M11" s="74">
        <f aca="true" t="shared" si="0" ref="M11:M17">SUM(F11:K11)</f>
        <v>4752</v>
      </c>
      <c r="N11" s="710" t="str">
        <f>IF(L11=M11,0,IF(L11&gt;0,(M11-L11)/L11,"--"))</f>
        <v>--</v>
      </c>
      <c r="O11" s="592" t="s">
        <v>127</v>
      </c>
      <c r="P11" s="128"/>
      <c r="Q11" s="79"/>
    </row>
    <row r="12" spans="1:17" s="4" customFormat="1" ht="13.5" customHeight="1">
      <c r="A12" s="665" t="s">
        <v>170</v>
      </c>
      <c r="B12" s="331"/>
      <c r="C12" s="117" t="s">
        <v>131</v>
      </c>
      <c r="D12" s="339">
        <f>[2]!F071F2300Personnel</f>
        <v>0</v>
      </c>
      <c r="E12" s="253">
        <v>0</v>
      </c>
      <c r="F12" s="168">
        <v>0</v>
      </c>
      <c r="G12" s="168">
        <v>0</v>
      </c>
      <c r="H12" s="168">
        <v>0</v>
      </c>
      <c r="I12" s="168">
        <v>0</v>
      </c>
      <c r="J12" s="712"/>
      <c r="K12" s="724">
        <v>0</v>
      </c>
      <c r="L12" s="337">
        <f>[2]!F071F2300</f>
        <v>0</v>
      </c>
      <c r="M12" s="74">
        <f t="shared" si="0"/>
        <v>0</v>
      </c>
      <c r="N12" s="710">
        <f aca="true" t="shared" si="1" ref="N12:N18">IF(L12=M12,0,IF(L12&gt;0,(M12-L12)/L12,"--"))</f>
        <v>0</v>
      </c>
      <c r="O12" s="592" t="s">
        <v>131</v>
      </c>
      <c r="P12" s="128"/>
      <c r="Q12" s="79"/>
    </row>
    <row r="13" spans="1:17" s="4" customFormat="1" ht="13.5" customHeight="1">
      <c r="A13" s="665" t="s">
        <v>174</v>
      </c>
      <c r="B13" s="331"/>
      <c r="C13" s="117" t="s">
        <v>132</v>
      </c>
      <c r="D13" s="339">
        <f>[2]!F071F2400Personnel</f>
        <v>0</v>
      </c>
      <c r="E13" s="253">
        <v>0</v>
      </c>
      <c r="F13" s="168">
        <v>0</v>
      </c>
      <c r="G13" s="168">
        <v>0</v>
      </c>
      <c r="H13" s="168">
        <v>0</v>
      </c>
      <c r="I13" s="168">
        <v>0</v>
      </c>
      <c r="J13" s="712"/>
      <c r="K13" s="724">
        <v>0</v>
      </c>
      <c r="L13" s="337">
        <f>[2]!F071F2400</f>
        <v>0</v>
      </c>
      <c r="M13" s="74">
        <f t="shared" si="0"/>
        <v>0</v>
      </c>
      <c r="N13" s="710">
        <f t="shared" si="1"/>
        <v>0</v>
      </c>
      <c r="O13" s="592" t="s">
        <v>132</v>
      </c>
      <c r="P13" s="128"/>
      <c r="Q13" s="79"/>
    </row>
    <row r="14" spans="1:17" s="4" customFormat="1" ht="13.5" customHeight="1">
      <c r="A14" s="665" t="s">
        <v>329</v>
      </c>
      <c r="B14" s="331"/>
      <c r="C14" s="117" t="s">
        <v>133</v>
      </c>
      <c r="D14" s="339">
        <f>[2]!F071F2500Personnel</f>
        <v>0</v>
      </c>
      <c r="E14" s="253">
        <v>0</v>
      </c>
      <c r="F14" s="168">
        <v>0</v>
      </c>
      <c r="G14" s="168">
        <v>0</v>
      </c>
      <c r="H14" s="168">
        <v>0</v>
      </c>
      <c r="I14" s="168">
        <v>0</v>
      </c>
      <c r="J14" s="712"/>
      <c r="K14" s="724">
        <v>0</v>
      </c>
      <c r="L14" s="337">
        <f>[2]!F071F2500</f>
        <v>0</v>
      </c>
      <c r="M14" s="74">
        <f t="shared" si="0"/>
        <v>0</v>
      </c>
      <c r="N14" s="710">
        <f t="shared" si="1"/>
        <v>0</v>
      </c>
      <c r="O14" s="592" t="s">
        <v>133</v>
      </c>
      <c r="P14" s="128"/>
      <c r="Q14" s="79"/>
    </row>
    <row r="15" spans="1:17" s="4" customFormat="1" ht="13.5" customHeight="1">
      <c r="A15" s="665" t="s">
        <v>330</v>
      </c>
      <c r="B15" s="331"/>
      <c r="C15" s="117" t="s">
        <v>134</v>
      </c>
      <c r="D15" s="339">
        <f>[2]!F071F2600Personnel</f>
        <v>0</v>
      </c>
      <c r="E15" s="253">
        <v>0</v>
      </c>
      <c r="F15" s="168">
        <v>0</v>
      </c>
      <c r="G15" s="168">
        <v>0</v>
      </c>
      <c r="H15" s="168">
        <v>0</v>
      </c>
      <c r="I15" s="168">
        <v>0</v>
      </c>
      <c r="J15" s="712"/>
      <c r="K15" s="724">
        <v>0</v>
      </c>
      <c r="L15" s="337">
        <f>[2]!F071F2600</f>
        <v>0</v>
      </c>
      <c r="M15" s="74">
        <f t="shared" si="0"/>
        <v>0</v>
      </c>
      <c r="N15" s="710">
        <f t="shared" si="1"/>
        <v>0</v>
      </c>
      <c r="O15" s="592" t="s">
        <v>134</v>
      </c>
      <c r="P15" s="128"/>
      <c r="Q15" s="79"/>
    </row>
    <row r="16" spans="1:17" s="4" customFormat="1" ht="13.5" customHeight="1">
      <c r="A16" s="665" t="s">
        <v>136</v>
      </c>
      <c r="B16" s="331"/>
      <c r="C16" s="117" t="s">
        <v>176</v>
      </c>
      <c r="D16" s="339">
        <f>[2]!F071F2700Personnel</f>
        <v>0</v>
      </c>
      <c r="E16" s="786">
        <v>0</v>
      </c>
      <c r="F16" s="724">
        <v>0</v>
      </c>
      <c r="G16" s="724">
        <v>0</v>
      </c>
      <c r="H16" s="724">
        <v>0</v>
      </c>
      <c r="I16" s="724">
        <v>0</v>
      </c>
      <c r="J16" s="712"/>
      <c r="K16" s="724">
        <v>0</v>
      </c>
      <c r="L16" s="337">
        <f>[2]!F071F2700</f>
        <v>0</v>
      </c>
      <c r="M16" s="74">
        <f t="shared" si="0"/>
        <v>0</v>
      </c>
      <c r="N16" s="710">
        <f t="shared" si="1"/>
        <v>0</v>
      </c>
      <c r="O16" s="592" t="s">
        <v>176</v>
      </c>
      <c r="P16" s="128"/>
      <c r="Q16" s="79"/>
    </row>
    <row r="17" spans="1:17" s="4" customFormat="1" ht="13.5" customHeight="1">
      <c r="A17" s="665" t="s">
        <v>93</v>
      </c>
      <c r="B17" s="331"/>
      <c r="C17" s="117" t="s">
        <v>177</v>
      </c>
      <c r="D17" s="339">
        <f>[2]!F071F2900Personnel</f>
        <v>0</v>
      </c>
      <c r="E17" s="253">
        <v>0</v>
      </c>
      <c r="F17" s="168">
        <v>0</v>
      </c>
      <c r="G17" s="168">
        <v>0</v>
      </c>
      <c r="H17" s="168">
        <v>0</v>
      </c>
      <c r="I17" s="168">
        <v>0</v>
      </c>
      <c r="J17" s="712"/>
      <c r="K17" s="724">
        <v>0</v>
      </c>
      <c r="L17" s="337">
        <f>[2]!F071F2900</f>
        <v>0</v>
      </c>
      <c r="M17" s="74">
        <f t="shared" si="0"/>
        <v>0</v>
      </c>
      <c r="N17" s="710">
        <f t="shared" si="1"/>
        <v>0</v>
      </c>
      <c r="O17" s="592" t="s">
        <v>177</v>
      </c>
      <c r="P17" s="128"/>
      <c r="Q17" s="79"/>
    </row>
    <row r="18" spans="1:17" s="4" customFormat="1" ht="13.5" customHeight="1">
      <c r="A18" s="887" t="s">
        <v>424</v>
      </c>
      <c r="B18" s="564"/>
      <c r="C18" s="565" t="s">
        <v>178</v>
      </c>
      <c r="D18" s="254">
        <f>SUM(D7:D17)</f>
        <v>0</v>
      </c>
      <c r="E18" s="254">
        <f>E8+SUM(E10:E17)</f>
        <v>3</v>
      </c>
      <c r="F18" s="166">
        <f>F8+SUM(F10:F17)</f>
        <v>134610</v>
      </c>
      <c r="G18" s="166">
        <f>G8+SUM(G10:G17)</f>
        <v>44880</v>
      </c>
      <c r="H18" s="166">
        <f>H8+SUM(H10:H17)</f>
        <v>5252</v>
      </c>
      <c r="I18" s="166">
        <f>I8+SUM(I10:I17)</f>
        <v>75000</v>
      </c>
      <c r="J18" s="283"/>
      <c r="K18" s="166">
        <f>K8+SUM(K10:K17)</f>
        <v>0</v>
      </c>
      <c r="L18" s="166">
        <f>SUM(L7:L17)</f>
        <v>0</v>
      </c>
      <c r="M18" s="166">
        <f>SUM(M7:M17)</f>
        <v>259742</v>
      </c>
      <c r="N18" s="710" t="str">
        <f t="shared" si="1"/>
        <v>--</v>
      </c>
      <c r="O18" s="594" t="s">
        <v>178</v>
      </c>
      <c r="P18" s="128"/>
      <c r="Q18" s="79"/>
    </row>
    <row r="19" spans="1:17" s="4" customFormat="1" ht="13.5" customHeight="1">
      <c r="A19" s="1651" t="s">
        <v>708</v>
      </c>
      <c r="B19" s="1652"/>
      <c r="C19" s="674"/>
      <c r="D19" s="1394">
        <f>[2]!F072F1000Personnel</f>
        <v>0</v>
      </c>
      <c r="E19" s="734"/>
      <c r="F19" s="733"/>
      <c r="G19" s="765"/>
      <c r="H19" s="733"/>
      <c r="I19" s="733"/>
      <c r="J19" s="1644"/>
      <c r="K19" s="765"/>
      <c r="L19" s="1396">
        <f>[2]!F072F1000</f>
        <v>0</v>
      </c>
      <c r="M19" s="1377">
        <f>SUM(F20:K20)</f>
        <v>0</v>
      </c>
      <c r="N19" s="1659">
        <f>IF(L19=M19,0,IF(L19&gt;0,(M19-L19)/L19,"--"))</f>
        <v>0</v>
      </c>
      <c r="O19" s="593"/>
      <c r="P19" s="79"/>
      <c r="Q19" s="79"/>
    </row>
    <row r="20" spans="1:17" s="4" customFormat="1" ht="13.5" customHeight="1">
      <c r="A20" s="665" t="s">
        <v>570</v>
      </c>
      <c r="B20" s="169"/>
      <c r="C20" s="117" t="s">
        <v>179</v>
      </c>
      <c r="D20" s="1653"/>
      <c r="E20" s="745">
        <v>0</v>
      </c>
      <c r="F20" s="744">
        <v>0</v>
      </c>
      <c r="G20" s="753">
        <v>0</v>
      </c>
      <c r="H20" s="744">
        <v>0</v>
      </c>
      <c r="I20" s="744">
        <v>0</v>
      </c>
      <c r="J20" s="1645"/>
      <c r="K20" s="753">
        <v>0</v>
      </c>
      <c r="L20" s="1646"/>
      <c r="M20" s="1378"/>
      <c r="N20" s="1660"/>
      <c r="O20" s="592" t="s">
        <v>179</v>
      </c>
      <c r="P20" s="128"/>
      <c r="Q20" s="79"/>
    </row>
    <row r="21" spans="1:17" s="4" customFormat="1" ht="13.5" customHeight="1">
      <c r="A21" s="665" t="s">
        <v>166</v>
      </c>
      <c r="B21" s="169"/>
      <c r="C21" s="117"/>
      <c r="D21" s="1394">
        <f>[2]!F072F2100Personnel</f>
        <v>0</v>
      </c>
      <c r="E21" s="734"/>
      <c r="F21" s="733"/>
      <c r="G21" s="733"/>
      <c r="H21" s="733"/>
      <c r="I21" s="733"/>
      <c r="J21" s="1644"/>
      <c r="K21" s="765"/>
      <c r="L21" s="1396">
        <f>[2]!F072F2100</f>
        <v>0</v>
      </c>
      <c r="M21" s="1377">
        <f>SUM(F22:K22)</f>
        <v>0</v>
      </c>
      <c r="N21" s="1659">
        <f>IF(L21=M21,0,IF(L21&gt;0,(M21-L21)/L21,"--"))</f>
        <v>0</v>
      </c>
      <c r="O21" s="592" t="s">
        <v>167</v>
      </c>
      <c r="P21" s="128"/>
      <c r="Q21" s="79"/>
    </row>
    <row r="22" spans="1:17" s="4" customFormat="1" ht="13.5" customHeight="1">
      <c r="A22" s="665" t="s">
        <v>168</v>
      </c>
      <c r="B22" s="169"/>
      <c r="C22" s="117" t="s">
        <v>180</v>
      </c>
      <c r="D22" s="1653"/>
      <c r="E22" s="745">
        <v>0</v>
      </c>
      <c r="F22" s="744">
        <v>0</v>
      </c>
      <c r="G22" s="744">
        <v>0</v>
      </c>
      <c r="H22" s="744">
        <v>0</v>
      </c>
      <c r="I22" s="744">
        <v>0</v>
      </c>
      <c r="J22" s="1645"/>
      <c r="K22" s="753">
        <v>0</v>
      </c>
      <c r="L22" s="1646"/>
      <c r="M22" s="1378"/>
      <c r="N22" s="1660"/>
      <c r="O22" s="592" t="s">
        <v>180</v>
      </c>
      <c r="P22" s="128"/>
      <c r="Q22" s="79"/>
    </row>
    <row r="23" spans="1:17" s="4" customFormat="1" ht="13.5" customHeight="1">
      <c r="A23" s="665" t="s">
        <v>169</v>
      </c>
      <c r="B23" s="169"/>
      <c r="C23" s="117" t="s">
        <v>181</v>
      </c>
      <c r="D23" s="360">
        <f>[2]!F072F2200Personnel</f>
        <v>0</v>
      </c>
      <c r="E23" s="253">
        <v>0</v>
      </c>
      <c r="F23" s="168">
        <v>0</v>
      </c>
      <c r="G23" s="168">
        <v>0</v>
      </c>
      <c r="H23" s="168">
        <v>0</v>
      </c>
      <c r="I23" s="168">
        <v>0</v>
      </c>
      <c r="J23" s="712"/>
      <c r="K23" s="724">
        <v>0</v>
      </c>
      <c r="L23" s="647">
        <f>[2]!F072F2200</f>
        <v>0</v>
      </c>
      <c r="M23" s="74">
        <f aca="true" t="shared" si="2" ref="M23:M29">SUM(F23:K23)</f>
        <v>0</v>
      </c>
      <c r="N23" s="287">
        <f aca="true" t="shared" si="3" ref="N23:N30">IF(L23=M23,0,IF(L23&gt;0,(M23-L23)/L23,"--"))</f>
        <v>0</v>
      </c>
      <c r="O23" s="592" t="s">
        <v>181</v>
      </c>
      <c r="P23" s="128"/>
      <c r="Q23" s="79"/>
    </row>
    <row r="24" spans="1:17" s="4" customFormat="1" ht="13.5" customHeight="1">
      <c r="A24" s="665" t="s">
        <v>170</v>
      </c>
      <c r="B24" s="169"/>
      <c r="C24" s="117" t="s">
        <v>182</v>
      </c>
      <c r="D24" s="360">
        <f>[2]!F072F2300Personnel</f>
        <v>0</v>
      </c>
      <c r="E24" s="253">
        <v>0</v>
      </c>
      <c r="F24" s="168">
        <v>0</v>
      </c>
      <c r="G24" s="168">
        <v>0</v>
      </c>
      <c r="H24" s="168">
        <v>0</v>
      </c>
      <c r="I24" s="168">
        <v>0</v>
      </c>
      <c r="J24" s="712"/>
      <c r="K24" s="724">
        <v>0</v>
      </c>
      <c r="L24" s="286">
        <f>[2]!F072F2300</f>
        <v>0</v>
      </c>
      <c r="M24" s="74">
        <f t="shared" si="2"/>
        <v>0</v>
      </c>
      <c r="N24" s="287">
        <f t="shared" si="3"/>
        <v>0</v>
      </c>
      <c r="O24" s="592" t="s">
        <v>182</v>
      </c>
      <c r="P24" s="128"/>
      <c r="Q24" s="79"/>
    </row>
    <row r="25" spans="1:17" s="4" customFormat="1" ht="13.5" customHeight="1">
      <c r="A25" s="665" t="s">
        <v>174</v>
      </c>
      <c r="B25" s="169"/>
      <c r="C25" s="117" t="s">
        <v>183</v>
      </c>
      <c r="D25" s="360">
        <f>[2]!F072F2400Personnel</f>
        <v>0</v>
      </c>
      <c r="E25" s="253">
        <v>0</v>
      </c>
      <c r="F25" s="168">
        <v>0</v>
      </c>
      <c r="G25" s="168">
        <v>0</v>
      </c>
      <c r="H25" s="168">
        <v>0</v>
      </c>
      <c r="I25" s="168">
        <v>0</v>
      </c>
      <c r="J25" s="712"/>
      <c r="K25" s="724">
        <v>0</v>
      </c>
      <c r="L25" s="286">
        <f>[2]!F072F2400</f>
        <v>0</v>
      </c>
      <c r="M25" s="74">
        <f t="shared" si="2"/>
        <v>0</v>
      </c>
      <c r="N25" s="287">
        <f t="shared" si="3"/>
        <v>0</v>
      </c>
      <c r="O25" s="592" t="s">
        <v>183</v>
      </c>
      <c r="P25" s="128"/>
      <c r="Q25" s="79"/>
    </row>
    <row r="26" spans="1:17" s="4" customFormat="1" ht="13.5" customHeight="1">
      <c r="A26" s="665" t="s">
        <v>329</v>
      </c>
      <c r="B26" s="331"/>
      <c r="C26" s="117" t="s">
        <v>184</v>
      </c>
      <c r="D26" s="360">
        <f>[2]!F072F2500Personnel</f>
        <v>0</v>
      </c>
      <c r="E26" s="253">
        <v>0</v>
      </c>
      <c r="F26" s="168">
        <v>0</v>
      </c>
      <c r="G26" s="168">
        <v>0</v>
      </c>
      <c r="H26" s="168">
        <v>0</v>
      </c>
      <c r="I26" s="168">
        <v>0</v>
      </c>
      <c r="J26" s="712"/>
      <c r="K26" s="724">
        <v>0</v>
      </c>
      <c r="L26" s="286">
        <f>[2]!F072F2500</f>
        <v>0</v>
      </c>
      <c r="M26" s="74">
        <f t="shared" si="2"/>
        <v>0</v>
      </c>
      <c r="N26" s="287">
        <f t="shared" si="3"/>
        <v>0</v>
      </c>
      <c r="O26" s="592" t="s">
        <v>184</v>
      </c>
      <c r="P26" s="128"/>
      <c r="Q26" s="79"/>
    </row>
    <row r="27" spans="1:17" s="4" customFormat="1" ht="13.5" customHeight="1">
      <c r="A27" s="665" t="s">
        <v>330</v>
      </c>
      <c r="B27" s="331"/>
      <c r="C27" s="117" t="s">
        <v>185</v>
      </c>
      <c r="D27" s="360">
        <f>[2]!F072F2600Personnel</f>
        <v>0</v>
      </c>
      <c r="E27" s="253">
        <v>0</v>
      </c>
      <c r="F27" s="168">
        <v>0</v>
      </c>
      <c r="G27" s="168">
        <v>0</v>
      </c>
      <c r="H27" s="168">
        <v>0</v>
      </c>
      <c r="I27" s="168">
        <v>0</v>
      </c>
      <c r="J27" s="712"/>
      <c r="K27" s="724">
        <v>0</v>
      </c>
      <c r="L27" s="286">
        <f>[2]!F072F2600</f>
        <v>0</v>
      </c>
      <c r="M27" s="74">
        <f t="shared" si="2"/>
        <v>0</v>
      </c>
      <c r="N27" s="287">
        <f t="shared" si="3"/>
        <v>0</v>
      </c>
      <c r="O27" s="592" t="s">
        <v>185</v>
      </c>
      <c r="P27" s="128"/>
      <c r="Q27" s="79"/>
    </row>
    <row r="28" spans="1:17" s="4" customFormat="1" ht="13.5" customHeight="1">
      <c r="A28" s="665" t="s">
        <v>136</v>
      </c>
      <c r="B28" s="169"/>
      <c r="C28" s="117" t="s">
        <v>186</v>
      </c>
      <c r="D28" s="360">
        <f>[2]!F072F2700Personnel</f>
        <v>0</v>
      </c>
      <c r="E28" s="253">
        <v>0</v>
      </c>
      <c r="F28" s="168">
        <v>0</v>
      </c>
      <c r="G28" s="168">
        <v>0</v>
      </c>
      <c r="H28" s="168">
        <v>0</v>
      </c>
      <c r="I28" s="168">
        <v>0</v>
      </c>
      <c r="J28" s="712"/>
      <c r="K28" s="724">
        <v>0</v>
      </c>
      <c r="L28" s="286">
        <f>[2]!F072F2700</f>
        <v>0</v>
      </c>
      <c r="M28" s="74">
        <f t="shared" si="2"/>
        <v>0</v>
      </c>
      <c r="N28" s="287">
        <f t="shared" si="3"/>
        <v>0</v>
      </c>
      <c r="O28" s="592" t="s">
        <v>186</v>
      </c>
      <c r="P28" s="128"/>
      <c r="Q28" s="79"/>
    </row>
    <row r="29" spans="1:17" s="4" customFormat="1" ht="13.5" customHeight="1">
      <c r="A29" s="665" t="s">
        <v>93</v>
      </c>
      <c r="B29" s="169"/>
      <c r="C29" s="117" t="s">
        <v>187</v>
      </c>
      <c r="D29" s="360">
        <f>[2]!F072F2900Personnel</f>
        <v>0</v>
      </c>
      <c r="E29" s="253">
        <v>0</v>
      </c>
      <c r="F29" s="168">
        <v>0</v>
      </c>
      <c r="G29" s="168">
        <v>0</v>
      </c>
      <c r="H29" s="168">
        <v>0</v>
      </c>
      <c r="I29" s="168">
        <v>0</v>
      </c>
      <c r="J29" s="712"/>
      <c r="K29" s="724">
        <v>0</v>
      </c>
      <c r="L29" s="286">
        <f>[2]!F072F2900</f>
        <v>0</v>
      </c>
      <c r="M29" s="74">
        <f t="shared" si="2"/>
        <v>0</v>
      </c>
      <c r="N29" s="287">
        <f t="shared" si="3"/>
        <v>0</v>
      </c>
      <c r="O29" s="592" t="s">
        <v>187</v>
      </c>
      <c r="P29" s="128"/>
      <c r="Q29" s="79"/>
    </row>
    <row r="30" spans="1:17" s="4" customFormat="1" ht="13.5" customHeight="1">
      <c r="A30" s="887" t="s">
        <v>425</v>
      </c>
      <c r="B30" s="564"/>
      <c r="C30" s="565" t="s">
        <v>189</v>
      </c>
      <c r="D30" s="339">
        <f>SUM(D19:D29)</f>
        <v>0</v>
      </c>
      <c r="E30" s="339">
        <f>E20+SUM(E22:E29)</f>
        <v>0</v>
      </c>
      <c r="F30" s="338">
        <f>F20+SUM(F22:F29)</f>
        <v>0</v>
      </c>
      <c r="G30" s="338">
        <f>G20+SUM(G22:G29)</f>
        <v>0</v>
      </c>
      <c r="H30" s="338">
        <f>H20+SUM(H22:H29)</f>
        <v>0</v>
      </c>
      <c r="I30" s="338">
        <f>I20+SUM(I22:I29)</f>
        <v>0</v>
      </c>
      <c r="J30" s="283"/>
      <c r="K30" s="338">
        <f>K20+SUM(K22:K29)</f>
        <v>0</v>
      </c>
      <c r="L30" s="338">
        <f>SUM(L19:L29)</f>
        <v>0</v>
      </c>
      <c r="M30" s="338">
        <f>SUM(M19:M29)</f>
        <v>0</v>
      </c>
      <c r="N30" s="287">
        <f t="shared" si="3"/>
        <v>0</v>
      </c>
      <c r="O30" s="594" t="s">
        <v>189</v>
      </c>
      <c r="P30" s="128"/>
      <c r="Q30" s="79"/>
    </row>
    <row r="31" spans="1:15" ht="9" customHeight="1">
      <c r="A31" s="587"/>
      <c r="B31" s="587"/>
      <c r="C31" s="587"/>
      <c r="D31" s="587"/>
      <c r="E31" s="587"/>
      <c r="F31" s="587"/>
      <c r="G31" s="587"/>
      <c r="H31" s="587"/>
      <c r="I31" s="587"/>
      <c r="J31" s="587"/>
      <c r="K31" s="587"/>
      <c r="L31" s="587"/>
      <c r="M31" s="587"/>
      <c r="N31" s="587"/>
      <c r="O31" s="587"/>
    </row>
    <row r="32" spans="1:15" ht="15.75">
      <c r="A32" s="79"/>
      <c r="B32" s="79"/>
      <c r="C32" s="79"/>
      <c r="D32" s="79"/>
      <c r="E32" s="79"/>
      <c r="F32" s="79"/>
      <c r="G32" s="79"/>
      <c r="H32" s="79"/>
      <c r="I32" s="79"/>
      <c r="J32" s="79"/>
      <c r="K32" s="79"/>
      <c r="L32" s="79"/>
      <c r="M32" s="79"/>
      <c r="N32" s="79"/>
      <c r="O32" s="79"/>
    </row>
    <row r="33" spans="1:15" ht="15.75">
      <c r="A33" s="79"/>
      <c r="B33" s="79"/>
      <c r="C33" s="79"/>
      <c r="D33" s="79"/>
      <c r="E33" s="79"/>
      <c r="F33" s="79"/>
      <c r="G33" s="79"/>
      <c r="H33" s="79"/>
      <c r="I33" s="79"/>
      <c r="J33" s="79"/>
      <c r="K33" s="79"/>
      <c r="L33" s="79"/>
      <c r="M33" s="79"/>
      <c r="N33" s="79"/>
      <c r="O33" s="79"/>
    </row>
    <row r="34" spans="1:15" ht="15.75">
      <c r="A34" s="79"/>
      <c r="B34" s="79"/>
      <c r="C34" s="79"/>
      <c r="D34" s="79"/>
      <c r="E34" s="79"/>
      <c r="F34" s="79"/>
      <c r="G34" s="79"/>
      <c r="H34" s="79"/>
      <c r="I34" s="79"/>
      <c r="J34" s="79"/>
      <c r="K34" s="79"/>
      <c r="L34" s="79"/>
      <c r="M34" s="79"/>
      <c r="N34" s="79"/>
      <c r="O34" s="79"/>
    </row>
    <row r="35" spans="1:15" ht="15.75">
      <c r="A35" s="79"/>
      <c r="B35" s="79"/>
      <c r="C35" s="79"/>
      <c r="D35" s="79"/>
      <c r="E35" s="79"/>
      <c r="F35" s="79"/>
      <c r="G35" s="79"/>
      <c r="H35" s="79"/>
      <c r="I35" s="79"/>
      <c r="J35" s="79"/>
      <c r="K35" s="79"/>
      <c r="L35" s="79"/>
      <c r="M35" s="79"/>
      <c r="N35" s="79"/>
      <c r="O35" s="79"/>
    </row>
    <row r="36" spans="1:15" ht="15.75">
      <c r="A36" s="79"/>
      <c r="B36" s="79"/>
      <c r="C36" s="79"/>
      <c r="D36" s="79"/>
      <c r="E36" s="79"/>
      <c r="F36" s="79"/>
      <c r="G36" s="79"/>
      <c r="H36" s="79"/>
      <c r="I36" s="79"/>
      <c r="J36" s="79"/>
      <c r="K36" s="79"/>
      <c r="L36" s="79"/>
      <c r="M36" s="79"/>
      <c r="N36" s="79"/>
      <c r="O36" s="79"/>
    </row>
    <row r="37" spans="1:15" ht="15.75">
      <c r="A37" s="79"/>
      <c r="B37" s="79"/>
      <c r="C37" s="79"/>
      <c r="D37" s="79"/>
      <c r="E37" s="79"/>
      <c r="F37" s="79"/>
      <c r="G37" s="79"/>
      <c r="H37" s="79"/>
      <c r="I37" s="79"/>
      <c r="J37" s="79"/>
      <c r="K37" s="79"/>
      <c r="L37" s="79"/>
      <c r="M37" s="79"/>
      <c r="N37" s="79"/>
      <c r="O37" s="79"/>
    </row>
    <row r="38" spans="1:15" ht="15.75">
      <c r="A38" s="79"/>
      <c r="B38" s="79"/>
      <c r="C38" s="79"/>
      <c r="D38" s="79"/>
      <c r="E38" s="79"/>
      <c r="F38" s="79"/>
      <c r="G38" s="79"/>
      <c r="H38" s="79"/>
      <c r="I38" s="79"/>
      <c r="J38" s="79"/>
      <c r="K38" s="79"/>
      <c r="L38" s="79"/>
      <c r="M38" s="79"/>
      <c r="N38" s="79"/>
      <c r="O38" s="79"/>
    </row>
    <row r="39" spans="1:15" ht="15.75">
      <c r="A39" s="79"/>
      <c r="B39" s="79"/>
      <c r="C39" s="79"/>
      <c r="D39" s="79"/>
      <c r="E39" s="79"/>
      <c r="F39" s="79"/>
      <c r="G39" s="79"/>
      <c r="H39" s="79"/>
      <c r="I39" s="79"/>
      <c r="J39" s="79"/>
      <c r="K39" s="79"/>
      <c r="L39" s="79"/>
      <c r="M39" s="79"/>
      <c r="N39" s="79"/>
      <c r="O39" s="79"/>
    </row>
    <row r="40" spans="1:15" ht="15.75">
      <c r="A40" s="79"/>
      <c r="B40" s="79"/>
      <c r="C40" s="79"/>
      <c r="D40" s="79"/>
      <c r="E40" s="79"/>
      <c r="F40" s="79"/>
      <c r="G40" s="79"/>
      <c r="H40" s="79"/>
      <c r="I40" s="79"/>
      <c r="J40" s="79"/>
      <c r="K40" s="79"/>
      <c r="L40" s="79"/>
      <c r="M40" s="79"/>
      <c r="N40" s="79"/>
      <c r="O40" s="79"/>
    </row>
    <row r="41" spans="1:15" ht="15.75">
      <c r="A41" s="79"/>
      <c r="B41" s="79"/>
      <c r="C41" s="79"/>
      <c r="D41" s="79"/>
      <c r="E41" s="79"/>
      <c r="F41" s="79"/>
      <c r="G41" s="79"/>
      <c r="H41" s="79"/>
      <c r="I41" s="79"/>
      <c r="J41" s="79"/>
      <c r="K41" s="79"/>
      <c r="L41" s="79"/>
      <c r="M41" s="79"/>
      <c r="N41" s="79"/>
      <c r="O41" s="79"/>
    </row>
    <row r="42" spans="1:15" ht="15.75">
      <c r="A42" s="79"/>
      <c r="B42" s="79"/>
      <c r="C42" s="79"/>
      <c r="D42" s="79"/>
      <c r="E42" s="79"/>
      <c r="F42" s="79"/>
      <c r="G42" s="79"/>
      <c r="H42" s="79"/>
      <c r="I42" s="79"/>
      <c r="J42" s="79"/>
      <c r="K42" s="79"/>
      <c r="L42" s="79"/>
      <c r="M42" s="79"/>
      <c r="N42" s="79"/>
      <c r="O42" s="79"/>
    </row>
    <row r="43" spans="1:15" ht="15.75">
      <c r="A43" s="79"/>
      <c r="B43" s="79"/>
      <c r="C43" s="79"/>
      <c r="D43" s="79"/>
      <c r="E43" s="79"/>
      <c r="F43" s="79"/>
      <c r="G43" s="79"/>
      <c r="H43" s="79"/>
      <c r="I43" s="79"/>
      <c r="J43" s="79"/>
      <c r="K43" s="79"/>
      <c r="L43" s="79"/>
      <c r="M43" s="79"/>
      <c r="N43" s="79"/>
      <c r="O43" s="79"/>
    </row>
    <row r="44" spans="1:15" ht="15.75">
      <c r="A44" s="79"/>
      <c r="B44" s="79"/>
      <c r="C44" s="79"/>
      <c r="D44" s="79"/>
      <c r="E44" s="79"/>
      <c r="F44" s="79"/>
      <c r="G44" s="79"/>
      <c r="H44" s="79"/>
      <c r="I44" s="79"/>
      <c r="J44" s="79"/>
      <c r="K44" s="79"/>
      <c r="L44" s="79"/>
      <c r="M44" s="79"/>
      <c r="N44" s="79"/>
      <c r="O44" s="79"/>
    </row>
    <row r="45" spans="1:15" ht="15.75">
      <c r="A45" s="79"/>
      <c r="B45" s="79"/>
      <c r="C45" s="79"/>
      <c r="D45" s="79"/>
      <c r="E45" s="79"/>
      <c r="F45" s="79"/>
      <c r="G45" s="79"/>
      <c r="H45" s="79"/>
      <c r="I45" s="79"/>
      <c r="J45" s="79"/>
      <c r="K45" s="79"/>
      <c r="L45" s="79"/>
      <c r="M45" s="79"/>
      <c r="N45" s="79"/>
      <c r="O45" s="79"/>
    </row>
    <row r="46" spans="1:15" ht="15.75">
      <c r="A46" s="79"/>
      <c r="B46" s="79"/>
      <c r="C46" s="79"/>
      <c r="D46" s="79"/>
      <c r="E46" s="79"/>
      <c r="F46" s="79"/>
      <c r="G46" s="79"/>
      <c r="H46" s="79"/>
      <c r="I46" s="79"/>
      <c r="J46" s="79"/>
      <c r="K46" s="79"/>
      <c r="L46" s="79"/>
      <c r="M46" s="79"/>
      <c r="N46" s="79"/>
      <c r="O46" s="79"/>
    </row>
    <row r="47" spans="1:15" ht="15.75">
      <c r="A47" s="79"/>
      <c r="B47" s="79"/>
      <c r="C47" s="79"/>
      <c r="D47" s="79"/>
      <c r="E47" s="79"/>
      <c r="F47" s="79"/>
      <c r="G47" s="79"/>
      <c r="H47" s="79"/>
      <c r="I47" s="79"/>
      <c r="J47" s="79"/>
      <c r="K47" s="79"/>
      <c r="L47" s="79"/>
      <c r="M47" s="79"/>
      <c r="N47" s="79"/>
      <c r="O47" s="79"/>
    </row>
    <row r="48" spans="1:15" ht="15.75">
      <c r="A48" s="79"/>
      <c r="B48" s="79"/>
      <c r="C48" s="79"/>
      <c r="D48" s="79"/>
      <c r="E48" s="79"/>
      <c r="F48" s="79"/>
      <c r="G48" s="79"/>
      <c r="H48" s="79"/>
      <c r="I48" s="79"/>
      <c r="J48" s="79"/>
      <c r="K48" s="79"/>
      <c r="L48" s="79"/>
      <c r="M48" s="79"/>
      <c r="N48" s="79"/>
      <c r="O48" s="79"/>
    </row>
  </sheetData>
  <sheetProtection sheet="1" formatCells="0" formatColumns="0" formatRows="0"/>
  <mergeCells count="27">
    <mergeCell ref="A19:B19"/>
    <mergeCell ref="L21:L22"/>
    <mergeCell ref="M21:M22"/>
    <mergeCell ref="N21:N22"/>
    <mergeCell ref="J21:J22"/>
    <mergeCell ref="M19:M20"/>
    <mergeCell ref="N19:N20"/>
    <mergeCell ref="J19:J20"/>
    <mergeCell ref="L19:L20"/>
    <mergeCell ref="D21:D22"/>
    <mergeCell ref="D19:D20"/>
    <mergeCell ref="N1:O1"/>
    <mergeCell ref="N7:N8"/>
    <mergeCell ref="M7:M8"/>
    <mergeCell ref="M9:M10"/>
    <mergeCell ref="N9:N10"/>
    <mergeCell ref="A2:N2"/>
    <mergeCell ref="B1:E1"/>
    <mergeCell ref="D9:D10"/>
    <mergeCell ref="G1:H1"/>
    <mergeCell ref="J7:J8"/>
    <mergeCell ref="J9:J10"/>
    <mergeCell ref="L7:L8"/>
    <mergeCell ref="D7:D8"/>
    <mergeCell ref="A4:B4"/>
    <mergeCell ref="A7:B7"/>
    <mergeCell ref="L9:L10"/>
  </mergeCells>
  <printOptions horizontalCentered="1"/>
  <pageMargins left="0.25" right="0.25" top="0.25" bottom="0.25" header="0" footer="0.25"/>
  <pageSetup fitToHeight="1" fitToWidth="1" horizontalDpi="600" verticalDpi="600" orientation="landscape" paperSize="5" scale="93" r:id="rId2"/>
  <headerFooter alignWithMargins="0">
    <oddFooter>&amp;C&amp;A</oddFooter>
  </headerFooter>
  <ignoredErrors>
    <ignoredError sqref="K6 G6:H6"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V271"/>
  <sheetViews>
    <sheetView showGridLines="0" showOutlineSymbols="0" zoomScale="115" zoomScaleNormal="115" zoomScalePageLayoutView="0" workbookViewId="0" topLeftCell="A28">
      <selection activeCell="Q33" sqref="Q33"/>
    </sheetView>
  </sheetViews>
  <sheetFormatPr defaultColWidth="8.5546875" defaultRowHeight="15"/>
  <cols>
    <col min="1" max="1" width="17.21484375" style="199" customWidth="1"/>
    <col min="2" max="2" width="9.6640625" style="199" customWidth="1"/>
    <col min="3" max="3" width="8.99609375" style="199" customWidth="1"/>
    <col min="4" max="8" width="8.77734375" style="199" customWidth="1"/>
    <col min="9" max="9" width="7.99609375" style="199" customWidth="1"/>
    <col min="10" max="10" width="2.21484375" style="199" customWidth="1"/>
    <col min="11" max="11" width="9.99609375" style="199" customWidth="1"/>
    <col min="12" max="255" width="5.77734375" style="199" customWidth="1"/>
    <col min="256" max="16384" width="8.5546875" style="199" customWidth="1"/>
  </cols>
  <sheetData>
    <row r="1" spans="1:10" ht="11.25">
      <c r="A1" s="171" t="s">
        <v>300</v>
      </c>
      <c r="B1" s="171"/>
      <c r="C1" s="171"/>
      <c r="D1" s="171"/>
      <c r="E1" s="171"/>
      <c r="F1" s="171"/>
      <c r="G1" s="171"/>
      <c r="H1" s="171" t="s">
        <v>266</v>
      </c>
      <c r="I1" s="555" t="str">
        <f>Cover!Q1</f>
        <v>070241000</v>
      </c>
      <c r="J1" s="172"/>
    </row>
    <row r="2" spans="2:22" ht="12" customHeight="1">
      <c r="B2" s="397"/>
      <c r="C2" s="397"/>
      <c r="D2" s="397"/>
      <c r="E2" s="397"/>
      <c r="F2" s="397"/>
      <c r="G2" s="397"/>
      <c r="H2" s="638" t="s">
        <v>172</v>
      </c>
      <c r="I2" s="639" t="str">
        <f>Cover!C8</f>
        <v>Revised #2</v>
      </c>
      <c r="J2" s="154"/>
      <c r="K2" s="154"/>
      <c r="L2" s="154"/>
      <c r="M2" s="154"/>
      <c r="N2" s="154"/>
      <c r="O2" s="154"/>
      <c r="P2" s="154"/>
      <c r="Q2" s="154"/>
      <c r="R2" s="154"/>
      <c r="S2" s="154"/>
      <c r="T2" s="154"/>
      <c r="U2" s="154"/>
      <c r="V2" s="154"/>
    </row>
    <row r="3" spans="1:22" ht="15" customHeight="1">
      <c r="A3" s="395" t="s">
        <v>249</v>
      </c>
      <c r="B3" s="1662" t="s">
        <v>818</v>
      </c>
      <c r="C3" s="1662"/>
      <c r="D3" s="1663"/>
      <c r="E3" s="605" t="s">
        <v>85</v>
      </c>
      <c r="F3" s="640" t="s">
        <v>817</v>
      </c>
      <c r="G3" s="1661" t="s">
        <v>652</v>
      </c>
      <c r="H3" s="1661"/>
      <c r="I3" s="1661"/>
      <c r="J3" s="154"/>
      <c r="K3" s="154"/>
      <c r="L3" s="154"/>
      <c r="M3" s="154"/>
      <c r="N3" s="154"/>
      <c r="O3" s="154"/>
      <c r="P3" s="154"/>
      <c r="Q3" s="154"/>
      <c r="R3" s="154"/>
      <c r="S3" s="154"/>
      <c r="T3" s="154"/>
      <c r="U3" s="154"/>
      <c r="V3" s="154"/>
    </row>
    <row r="4" spans="1:22" ht="12" customHeight="1">
      <c r="A4" s="1664" t="s">
        <v>84</v>
      </c>
      <c r="B4" s="1665"/>
      <c r="C4" s="641" t="s">
        <v>834</v>
      </c>
      <c r="D4" s="1664" t="s">
        <v>835</v>
      </c>
      <c r="E4" s="1664"/>
      <c r="F4" s="1664"/>
      <c r="G4" s="1664"/>
      <c r="H4" s="1664"/>
      <c r="I4" s="1664"/>
      <c r="J4" s="154"/>
      <c r="K4" s="154"/>
      <c r="L4" s="154"/>
      <c r="M4" s="154"/>
      <c r="N4" s="154"/>
      <c r="O4" s="154"/>
      <c r="P4" s="154"/>
      <c r="Q4" s="154"/>
      <c r="R4" s="154"/>
      <c r="S4" s="154"/>
      <c r="T4" s="154"/>
      <c r="U4" s="154"/>
      <c r="V4" s="154"/>
    </row>
    <row r="5" spans="1:22" ht="12" customHeight="1">
      <c r="A5" s="642" t="s">
        <v>824</v>
      </c>
      <c r="B5" s="1688" t="s">
        <v>250</v>
      </c>
      <c r="C5" s="1689"/>
      <c r="D5" s="1667" t="s">
        <v>826</v>
      </c>
      <c r="E5" s="1663"/>
      <c r="F5" s="1664" t="s">
        <v>251</v>
      </c>
      <c r="G5" s="1664"/>
      <c r="H5" s="1664"/>
      <c r="I5" s="603"/>
      <c r="J5" s="154"/>
      <c r="K5" s="154"/>
      <c r="L5" s="154"/>
      <c r="M5" s="154"/>
      <c r="N5" s="154"/>
      <c r="O5" s="154"/>
      <c r="P5" s="154"/>
      <c r="Q5" s="154"/>
      <c r="R5" s="154"/>
      <c r="S5" s="154"/>
      <c r="T5" s="154"/>
      <c r="U5" s="154"/>
      <c r="V5" s="154"/>
    </row>
    <row r="6" spans="1:22" ht="12">
      <c r="A6" s="175"/>
      <c r="B6" s="175"/>
      <c r="C6" s="176"/>
      <c r="D6" s="176"/>
      <c r="E6" s="1666"/>
      <c r="F6" s="1666"/>
      <c r="G6" s="1666"/>
      <c r="H6" s="175"/>
      <c r="I6" s="175"/>
      <c r="J6" s="154"/>
      <c r="K6" s="154"/>
      <c r="L6" s="154"/>
      <c r="M6" s="154"/>
      <c r="N6" s="154"/>
      <c r="O6" s="154"/>
      <c r="P6" s="154"/>
      <c r="Q6" s="154"/>
      <c r="R6" s="154"/>
      <c r="S6" s="154"/>
      <c r="T6" s="154"/>
      <c r="U6" s="154"/>
      <c r="V6" s="154"/>
    </row>
    <row r="7" spans="1:22" ht="12">
      <c r="A7" s="175"/>
      <c r="B7" s="176"/>
      <c r="C7" s="176"/>
      <c r="D7" s="176"/>
      <c r="E7" s="1683" t="s">
        <v>301</v>
      </c>
      <c r="F7" s="1683"/>
      <c r="G7" s="1683"/>
      <c r="H7" s="175"/>
      <c r="I7" s="175"/>
      <c r="J7" s="154"/>
      <c r="K7" s="154"/>
      <c r="L7" s="154"/>
      <c r="M7" s="154"/>
      <c r="N7" s="154"/>
      <c r="O7" s="154"/>
      <c r="P7" s="154"/>
      <c r="Q7" s="154"/>
      <c r="R7" s="154"/>
      <c r="S7" s="154"/>
      <c r="T7" s="154"/>
      <c r="U7" s="154"/>
      <c r="V7" s="154"/>
    </row>
    <row r="8" spans="1:22" ht="6" customHeight="1">
      <c r="A8" s="174"/>
      <c r="B8" s="174"/>
      <c r="C8" s="174"/>
      <c r="D8" s="174"/>
      <c r="E8" s="174"/>
      <c r="F8" s="174"/>
      <c r="G8" s="175"/>
      <c r="H8" s="175"/>
      <c r="I8" s="175"/>
      <c r="J8" s="154"/>
      <c r="K8" s="154"/>
      <c r="L8" s="154"/>
      <c r="M8" s="154"/>
      <c r="N8" s="154"/>
      <c r="O8" s="154"/>
      <c r="P8" s="154"/>
      <c r="Q8" s="154"/>
      <c r="R8" s="154"/>
      <c r="S8" s="154"/>
      <c r="T8" s="154"/>
      <c r="U8" s="154"/>
      <c r="V8" s="154"/>
    </row>
    <row r="9" spans="1:22" ht="11.25" customHeight="1">
      <c r="A9" s="1226" t="s">
        <v>624</v>
      </c>
      <c r="B9" s="1146"/>
      <c r="C9" s="1194"/>
      <c r="D9" s="1195"/>
      <c r="E9" s="181" t="s">
        <v>302</v>
      </c>
      <c r="F9" s="180"/>
      <c r="G9" s="180"/>
      <c r="H9" s="182"/>
      <c r="I9" s="183"/>
      <c r="J9" s="154"/>
      <c r="K9" s="154"/>
      <c r="L9" s="154"/>
      <c r="M9" s="154"/>
      <c r="N9" s="154"/>
      <c r="O9" s="154"/>
      <c r="P9" s="154"/>
      <c r="Q9" s="154"/>
      <c r="R9" s="154"/>
      <c r="S9" s="154"/>
      <c r="T9" s="154"/>
      <c r="U9" s="154"/>
      <c r="V9" s="154"/>
    </row>
    <row r="10" spans="1:22" ht="9.75" customHeight="1">
      <c r="A10" s="184"/>
      <c r="B10" s="1259"/>
      <c r="C10" s="1260" t="s">
        <v>565</v>
      </c>
      <c r="D10" s="1261" t="s">
        <v>380</v>
      </c>
      <c r="E10" s="1192"/>
      <c r="H10" s="175"/>
      <c r="I10" s="185"/>
      <c r="J10" s="154"/>
      <c r="K10" s="154"/>
      <c r="L10" s="154"/>
      <c r="M10" s="154"/>
      <c r="N10" s="154"/>
      <c r="O10" s="154"/>
      <c r="P10" s="154"/>
      <c r="Q10" s="154"/>
      <c r="R10" s="154"/>
      <c r="S10" s="154"/>
      <c r="T10" s="154"/>
      <c r="U10" s="154"/>
      <c r="V10" s="154"/>
    </row>
    <row r="11" spans="1:22" ht="9.75" customHeight="1">
      <c r="A11" s="184"/>
      <c r="B11" s="1262" t="s">
        <v>601</v>
      </c>
      <c r="C11" s="1263" t="s">
        <v>623</v>
      </c>
      <c r="D11" s="1264" t="s">
        <v>685</v>
      </c>
      <c r="E11" s="1192"/>
      <c r="H11" s="1198"/>
      <c r="I11" s="1199"/>
      <c r="J11" s="154"/>
      <c r="K11" s="154"/>
      <c r="L11" s="154"/>
      <c r="M11" s="154"/>
      <c r="N11" s="154"/>
      <c r="O11" s="154"/>
      <c r="P11" s="154"/>
      <c r="Q11" s="154"/>
      <c r="R11" s="154"/>
      <c r="S11" s="154"/>
      <c r="T11" s="154"/>
      <c r="U11" s="154"/>
      <c r="V11" s="154"/>
    </row>
    <row r="12" spans="1:22" ht="9.75" customHeight="1">
      <c r="A12" s="1684" t="s">
        <v>215</v>
      </c>
      <c r="B12" s="1189"/>
      <c r="C12" s="1189"/>
      <c r="D12" s="1196"/>
      <c r="E12" s="1193"/>
      <c r="H12" s="173" t="s">
        <v>563</v>
      </c>
      <c r="I12" s="1200" t="s">
        <v>303</v>
      </c>
      <c r="J12" s="154"/>
      <c r="K12" s="154"/>
      <c r="L12" s="154"/>
      <c r="M12" s="154"/>
      <c r="N12" s="154"/>
      <c r="O12" s="154"/>
      <c r="P12" s="154"/>
      <c r="Q12" s="154"/>
      <c r="R12" s="154"/>
      <c r="S12" s="154"/>
      <c r="T12" s="154"/>
      <c r="U12" s="154"/>
      <c r="V12" s="154"/>
    </row>
    <row r="13" spans="1:22" ht="9.75" customHeight="1">
      <c r="A13" s="1685"/>
      <c r="B13" s="1335">
        <v>34309.531</v>
      </c>
      <c r="C13" s="1335">
        <v>33629.243</v>
      </c>
      <c r="D13" s="1335">
        <v>33233.99</v>
      </c>
      <c r="E13" s="1193"/>
      <c r="H13" s="357" t="s">
        <v>382</v>
      </c>
      <c r="I13" s="1201" t="s">
        <v>383</v>
      </c>
      <c r="J13" s="154"/>
      <c r="K13" s="154"/>
      <c r="L13" s="154"/>
      <c r="M13" s="154"/>
      <c r="N13" s="154"/>
      <c r="O13" s="154"/>
      <c r="P13" s="154"/>
      <c r="Q13" s="154"/>
      <c r="R13" s="154"/>
      <c r="S13" s="154"/>
      <c r="T13" s="154"/>
      <c r="U13" s="154"/>
      <c r="V13" s="154"/>
    </row>
    <row r="14" spans="1:22" ht="9.75" customHeight="1">
      <c r="A14" s="1679" t="str">
        <f>IF(([0]!F001TotalExp&gt;0)*AND(OR(PriorYearADM=0,BudgetYearADM=0)),"Incomplete: Please complete the Student Count table above."," ")</f>
        <v> </v>
      </c>
      <c r="B14" s="1679"/>
      <c r="C14" s="1679"/>
      <c r="D14" s="1680"/>
      <c r="E14" s="1197"/>
      <c r="H14" s="1670">
        <f>PrimTaxRateCurrFY</f>
        <v>4.862</v>
      </c>
      <c r="I14" s="1670">
        <f>EstTaxRateBudgFY</f>
        <v>4.3061</v>
      </c>
      <c r="J14" s="154"/>
      <c r="K14" s="651"/>
      <c r="L14" s="189"/>
      <c r="M14" s="154"/>
      <c r="N14" s="154"/>
      <c r="O14" s="154"/>
      <c r="P14" s="154"/>
      <c r="Q14" s="154"/>
      <c r="R14" s="154"/>
      <c r="S14" s="154"/>
      <c r="T14" s="154"/>
      <c r="U14" s="154"/>
      <c r="V14" s="154"/>
    </row>
    <row r="15" spans="1:22" ht="9.75" customHeight="1">
      <c r="A15" s="1681"/>
      <c r="B15" s="1681"/>
      <c r="C15" s="1681"/>
      <c r="D15" s="1682"/>
      <c r="F15" s="188" t="s">
        <v>304</v>
      </c>
      <c r="H15" s="1676"/>
      <c r="I15" s="1671"/>
      <c r="J15" s="154"/>
      <c r="K15" s="652"/>
      <c r="L15" s="189"/>
      <c r="M15" s="154"/>
      <c r="N15" s="154"/>
      <c r="O15" s="154"/>
      <c r="P15" s="154"/>
      <c r="Q15" s="154"/>
      <c r="R15" s="154"/>
      <c r="S15" s="154"/>
      <c r="T15" s="154"/>
      <c r="U15" s="154"/>
      <c r="V15" s="154"/>
    </row>
    <row r="16" spans="1:22" ht="9.75" customHeight="1">
      <c r="A16" s="1681"/>
      <c r="B16" s="1681"/>
      <c r="C16" s="1681"/>
      <c r="D16" s="1682"/>
      <c r="E16" s="1197"/>
      <c r="H16" s="1673">
        <f>TotSecTaxRateCurrFY</f>
        <v>2.0758</v>
      </c>
      <c r="I16" s="1672">
        <f>TotSecTaxRateBudgFY</f>
        <v>2.118</v>
      </c>
      <c r="J16" s="154"/>
      <c r="K16" s="652"/>
      <c r="L16" s="189"/>
      <c r="M16" s="154"/>
      <c r="N16" s="154"/>
      <c r="O16" s="154"/>
      <c r="P16" s="154"/>
      <c r="Q16" s="154"/>
      <c r="R16" s="154"/>
      <c r="S16" s="154"/>
      <c r="T16" s="154"/>
      <c r="U16" s="154"/>
      <c r="V16" s="154"/>
    </row>
    <row r="17" spans="1:22" ht="9.75" customHeight="1">
      <c r="A17" s="1681"/>
      <c r="B17" s="1681"/>
      <c r="C17" s="1681"/>
      <c r="D17" s="1682"/>
      <c r="F17" s="188" t="s">
        <v>305</v>
      </c>
      <c r="H17" s="1673"/>
      <c r="I17" s="1673"/>
      <c r="J17" s="154"/>
      <c r="K17" s="652"/>
      <c r="L17" s="189"/>
      <c r="M17" s="154"/>
      <c r="N17" s="154"/>
      <c r="O17" s="154"/>
      <c r="P17" s="154"/>
      <c r="Q17" s="154"/>
      <c r="R17" s="154"/>
      <c r="S17" s="154"/>
      <c r="T17" s="154"/>
      <c r="U17" s="154"/>
      <c r="V17" s="154"/>
    </row>
    <row r="18" spans="1:22" ht="11.25" customHeight="1">
      <c r="A18" s="1681"/>
      <c r="B18" s="1681"/>
      <c r="C18" s="1681"/>
      <c r="D18" s="1681"/>
      <c r="E18" s="1202"/>
      <c r="F18" s="1677" t="s">
        <v>625</v>
      </c>
      <c r="G18" s="1677"/>
      <c r="H18" s="1677"/>
      <c r="I18" s="1677"/>
      <c r="J18" s="154"/>
      <c r="K18" s="154"/>
      <c r="L18" s="154"/>
      <c r="M18" s="154"/>
      <c r="N18" s="154"/>
      <c r="O18" s="154"/>
      <c r="P18" s="154"/>
      <c r="Q18" s="154"/>
      <c r="R18" s="154"/>
      <c r="S18" s="154"/>
      <c r="T18" s="154"/>
      <c r="U18" s="154"/>
      <c r="V18" s="154"/>
    </row>
    <row r="19" spans="1:22" ht="11.25" customHeight="1">
      <c r="A19" s="1681"/>
      <c r="B19" s="1681"/>
      <c r="C19" s="1681"/>
      <c r="D19" s="1681"/>
      <c r="E19" s="1203"/>
      <c r="F19" s="1678"/>
      <c r="G19" s="1678"/>
      <c r="H19" s="1678"/>
      <c r="I19" s="1678"/>
      <c r="J19" s="154"/>
      <c r="K19" s="154"/>
      <c r="L19" s="154"/>
      <c r="M19" s="154"/>
      <c r="N19" s="154"/>
      <c r="O19" s="154"/>
      <c r="P19" s="154"/>
      <c r="Q19" s="154"/>
      <c r="R19" s="154"/>
      <c r="S19" s="154"/>
      <c r="T19" s="154"/>
      <c r="U19" s="154"/>
      <c r="V19" s="154"/>
    </row>
    <row r="20" spans="1:22" ht="9.75" customHeight="1">
      <c r="A20" s="191" t="s">
        <v>785</v>
      </c>
      <c r="B20" s="192"/>
      <c r="C20" s="193"/>
      <c r="D20" s="194"/>
      <c r="E20" s="198"/>
      <c r="F20" s="1678"/>
      <c r="G20" s="1678"/>
      <c r="H20" s="1678"/>
      <c r="I20" s="1678"/>
      <c r="J20" s="154"/>
      <c r="K20" s="154"/>
      <c r="L20" s="154"/>
      <c r="M20" s="154"/>
      <c r="N20" s="154"/>
      <c r="O20" s="154"/>
      <c r="P20" s="154"/>
      <c r="Q20" s="154"/>
      <c r="R20" s="154"/>
      <c r="S20" s="154"/>
      <c r="T20" s="154"/>
      <c r="U20" s="154"/>
      <c r="V20" s="154"/>
    </row>
    <row r="21" spans="1:22" ht="9.75" customHeight="1">
      <c r="A21" s="195" t="s">
        <v>714</v>
      </c>
      <c r="B21" s="196"/>
      <c r="C21" s="197"/>
      <c r="D21" s="179"/>
      <c r="E21" s="198"/>
      <c r="F21" s="1188"/>
      <c r="G21" s="1188"/>
      <c r="H21" s="1188"/>
      <c r="I21" s="1188"/>
      <c r="J21" s="154"/>
      <c r="K21" s="154"/>
      <c r="L21" s="154"/>
      <c r="M21" s="154"/>
      <c r="N21" s="154"/>
      <c r="O21" s="154"/>
      <c r="P21" s="154"/>
      <c r="Q21" s="154"/>
      <c r="R21" s="154"/>
      <c r="S21" s="154"/>
      <c r="T21" s="154"/>
      <c r="U21" s="154"/>
      <c r="V21" s="154"/>
    </row>
    <row r="22" spans="1:22" ht="12" customHeight="1">
      <c r="A22" s="200" t="s">
        <v>75</v>
      </c>
      <c r="B22" s="292">
        <f>F001TotalExp</f>
        <v>208177511</v>
      </c>
      <c r="C22" s="175"/>
      <c r="D22" s="201" t="s">
        <v>784</v>
      </c>
      <c r="E22" s="292">
        <f>GBLBudgFY</f>
        <v>208177511</v>
      </c>
      <c r="F22" s="1188"/>
      <c r="G22" s="1188"/>
      <c r="H22" s="1188"/>
      <c r="I22" s="1188"/>
      <c r="J22" s="154"/>
      <c r="K22" s="154"/>
      <c r="L22" s="154"/>
      <c r="M22" s="154"/>
      <c r="N22" s="154"/>
      <c r="O22" s="154"/>
      <c r="P22" s="154"/>
      <c r="Q22" s="154"/>
      <c r="R22" s="154"/>
      <c r="S22" s="154"/>
      <c r="T22" s="154"/>
      <c r="U22" s="154"/>
      <c r="V22" s="154"/>
    </row>
    <row r="23" spans="1:22" ht="12" customHeight="1">
      <c r="A23" s="200" t="s">
        <v>74</v>
      </c>
      <c r="B23" s="396">
        <f>TotClassSiteFundExpBudgFY+F010O6590BudgFY</f>
        <v>17349806</v>
      </c>
      <c r="C23" s="175"/>
      <c r="D23" s="201" t="s">
        <v>712</v>
      </c>
      <c r="E23" s="292">
        <f>CSFBLBudgFY</f>
        <v>17349806</v>
      </c>
      <c r="F23" s="1188"/>
      <c r="G23" s="1188"/>
      <c r="H23" s="1188"/>
      <c r="I23" s="1188"/>
      <c r="J23" s="154"/>
      <c r="K23" s="154"/>
      <c r="L23" s="154"/>
      <c r="M23" s="154"/>
      <c r="N23" s="154"/>
      <c r="O23" s="154"/>
      <c r="P23" s="154"/>
      <c r="Q23" s="154"/>
      <c r="R23" s="154"/>
      <c r="S23" s="154"/>
      <c r="T23" s="154"/>
      <c r="U23" s="154"/>
      <c r="V23" s="154"/>
    </row>
    <row r="24" spans="1:22" ht="12" customHeight="1">
      <c r="A24" s="294" t="s">
        <v>76</v>
      </c>
      <c r="B24" s="293">
        <f>F610TotalBudgFY</f>
        <v>5059190</v>
      </c>
      <c r="D24" s="201" t="s">
        <v>713</v>
      </c>
      <c r="E24" s="293">
        <f>UCBLBudgFY</f>
        <v>5059190</v>
      </c>
      <c r="F24" s="1188"/>
      <c r="G24" s="1188"/>
      <c r="H24" s="1188"/>
      <c r="I24" s="1188"/>
      <c r="J24" s="154"/>
      <c r="K24" s="154"/>
      <c r="L24" s="154"/>
      <c r="M24" s="154"/>
      <c r="N24" s="154"/>
      <c r="O24" s="154"/>
      <c r="P24" s="154"/>
      <c r="Q24" s="154"/>
      <c r="R24" s="154"/>
      <c r="S24" s="154"/>
      <c r="T24" s="154"/>
      <c r="U24" s="154"/>
      <c r="V24" s="154"/>
    </row>
    <row r="25" spans="2:22" ht="9" customHeight="1">
      <c r="B25" s="392"/>
      <c r="C25" s="1696"/>
      <c r="D25" s="1696"/>
      <c r="E25" s="1696"/>
      <c r="F25" s="1696"/>
      <c r="G25" s="1696"/>
      <c r="H25" s="1696"/>
      <c r="I25" s="1665"/>
      <c r="J25" s="154"/>
      <c r="K25" s="154"/>
      <c r="L25" s="154"/>
      <c r="M25" s="154"/>
      <c r="N25" s="154"/>
      <c r="O25" s="154"/>
      <c r="P25" s="154"/>
      <c r="Q25" s="154"/>
      <c r="R25" s="154"/>
      <c r="S25" s="154"/>
      <c r="T25" s="154"/>
      <c r="U25" s="154"/>
      <c r="V25" s="154"/>
    </row>
    <row r="26" spans="1:22" ht="6" customHeight="1">
      <c r="A26" s="393"/>
      <c r="B26" s="393"/>
      <c r="C26" s="1697"/>
      <c r="D26" s="1697"/>
      <c r="E26" s="1697"/>
      <c r="F26" s="1697"/>
      <c r="G26" s="1697"/>
      <c r="H26" s="1697"/>
      <c r="I26" s="1698"/>
      <c r="J26" s="154"/>
      <c r="K26" s="154"/>
      <c r="L26" s="154"/>
      <c r="M26" s="154"/>
      <c r="N26" s="154"/>
      <c r="O26" s="154"/>
      <c r="P26" s="154"/>
      <c r="Q26" s="154"/>
      <c r="R26" s="154"/>
      <c r="S26" s="154"/>
      <c r="T26" s="154"/>
      <c r="U26" s="154"/>
      <c r="V26" s="154"/>
    </row>
    <row r="27" spans="1:22" ht="12">
      <c r="A27" s="203" t="s">
        <v>307</v>
      </c>
      <c r="B27" s="204"/>
      <c r="C27" s="204"/>
      <c r="D27" s="205"/>
      <c r="E27" s="205"/>
      <c r="F27" s="205"/>
      <c r="G27" s="205"/>
      <c r="H27" s="205"/>
      <c r="I27" s="206"/>
      <c r="J27" s="154"/>
      <c r="K27" s="154"/>
      <c r="L27" s="154"/>
      <c r="M27" s="154"/>
      <c r="N27" s="154"/>
      <c r="O27" s="154"/>
      <c r="P27" s="154"/>
      <c r="Q27" s="154"/>
      <c r="R27" s="154"/>
      <c r="S27" s="154"/>
      <c r="T27" s="154"/>
      <c r="U27" s="154"/>
      <c r="V27" s="154"/>
    </row>
    <row r="28" spans="1:22" ht="12">
      <c r="A28" s="207"/>
      <c r="B28" s="208"/>
      <c r="C28" s="181"/>
      <c r="D28" s="209"/>
      <c r="E28" s="190"/>
      <c r="F28" s="210"/>
      <c r="G28" s="211" t="s">
        <v>167</v>
      </c>
      <c r="H28" s="210"/>
      <c r="I28" s="212" t="s">
        <v>113</v>
      </c>
      <c r="J28" s="154"/>
      <c r="K28" s="154"/>
      <c r="L28" s="154"/>
      <c r="M28" s="154"/>
      <c r="N28" s="154"/>
      <c r="O28" s="154"/>
      <c r="P28" s="154"/>
      <c r="Q28" s="154"/>
      <c r="R28" s="154"/>
      <c r="S28" s="154"/>
      <c r="T28" s="154"/>
      <c r="U28" s="154"/>
      <c r="V28" s="154"/>
    </row>
    <row r="29" spans="1:22" ht="12">
      <c r="A29" s="207"/>
      <c r="B29" s="174"/>
      <c r="C29" s="187" t="s">
        <v>308</v>
      </c>
      <c r="D29" s="213"/>
      <c r="E29" s="186" t="s">
        <v>150</v>
      </c>
      <c r="F29" s="213"/>
      <c r="G29" s="187" t="s">
        <v>309</v>
      </c>
      <c r="H29" s="213"/>
      <c r="I29" s="214" t="s">
        <v>310</v>
      </c>
      <c r="J29" s="154"/>
      <c r="K29" s="154"/>
      <c r="L29" s="154"/>
      <c r="M29" s="154"/>
      <c r="N29" s="154"/>
      <c r="O29" s="154"/>
      <c r="P29" s="154"/>
      <c r="Q29" s="154"/>
      <c r="R29" s="154"/>
      <c r="S29" s="154"/>
      <c r="T29" s="154"/>
      <c r="U29" s="154"/>
      <c r="V29" s="154"/>
    </row>
    <row r="30" spans="1:22" ht="12">
      <c r="A30" s="207"/>
      <c r="B30" s="174"/>
      <c r="C30" s="212" t="s">
        <v>564</v>
      </c>
      <c r="D30" s="212" t="s">
        <v>383</v>
      </c>
      <c r="E30" s="212" t="s">
        <v>564</v>
      </c>
      <c r="F30" s="212" t="s">
        <v>383</v>
      </c>
      <c r="G30" s="212" t="s">
        <v>564</v>
      </c>
      <c r="H30" s="212" t="s">
        <v>383</v>
      </c>
      <c r="I30" s="214" t="s">
        <v>564</v>
      </c>
      <c r="J30" s="154"/>
      <c r="K30" s="154"/>
      <c r="L30" s="154"/>
      <c r="M30" s="154"/>
      <c r="N30" s="154"/>
      <c r="O30" s="154"/>
      <c r="P30" s="154"/>
      <c r="Q30" s="154"/>
      <c r="R30" s="154"/>
      <c r="S30" s="154"/>
      <c r="T30" s="154"/>
      <c r="U30" s="154"/>
      <c r="V30" s="154"/>
    </row>
    <row r="31" spans="1:22" ht="6.75" customHeight="1">
      <c r="A31" s="207"/>
      <c r="B31" s="174"/>
      <c r="C31" s="215"/>
      <c r="D31" s="215"/>
      <c r="E31" s="215"/>
      <c r="F31" s="215"/>
      <c r="G31" s="215"/>
      <c r="H31" s="215"/>
      <c r="I31" s="215"/>
      <c r="J31" s="154"/>
      <c r="K31" s="154"/>
      <c r="L31" s="154"/>
      <c r="M31" s="154"/>
      <c r="N31" s="154"/>
      <c r="O31" s="154"/>
      <c r="P31" s="154"/>
      <c r="Q31" s="154"/>
      <c r="R31" s="154"/>
      <c r="S31" s="154"/>
      <c r="T31" s="154"/>
      <c r="U31" s="154"/>
      <c r="V31" s="154"/>
    </row>
    <row r="32" spans="1:22" ht="12.75" customHeight="1">
      <c r="A32" s="216" t="s">
        <v>161</v>
      </c>
      <c r="B32" s="174"/>
      <c r="C32" s="1686">
        <f>[2]!F001P100F1000SBBudgFY</f>
        <v>97638787</v>
      </c>
      <c r="D32" s="1668">
        <f>F001P100F1000O6100+F001P100F1000O6200</f>
        <v>91196014</v>
      </c>
      <c r="E32" s="1686">
        <f>[2]!F001P100F1000OthBudgFY</f>
        <v>4886827</v>
      </c>
      <c r="F32" s="1668">
        <f>F001P100F1000O630064006500+F001P100F1000O6600+F001P100F1000O6800</f>
        <v>4004384</v>
      </c>
      <c r="G32" s="1686">
        <f>C32+E32</f>
        <v>102525614</v>
      </c>
      <c r="H32" s="1668">
        <f>D32+F32</f>
        <v>95200398</v>
      </c>
      <c r="I32" s="1674">
        <f>IF(G32=H32,0,IF(G32&gt;0,(H32-G32)/G32,"--"))</f>
        <v>-0.071</v>
      </c>
      <c r="J32" s="154"/>
      <c r="K32" s="154"/>
      <c r="L32" s="154"/>
      <c r="M32" s="154"/>
      <c r="N32" s="154"/>
      <c r="O32" s="154"/>
      <c r="P32" s="154"/>
      <c r="Q32" s="154"/>
      <c r="R32" s="154"/>
      <c r="S32" s="154"/>
      <c r="T32" s="154"/>
      <c r="U32" s="154"/>
      <c r="V32" s="154"/>
    </row>
    <row r="33" spans="1:22" ht="12.75" customHeight="1">
      <c r="A33" s="216" t="s">
        <v>570</v>
      </c>
      <c r="B33" s="174"/>
      <c r="C33" s="1687"/>
      <c r="D33" s="1669"/>
      <c r="E33" s="1687"/>
      <c r="F33" s="1669"/>
      <c r="G33" s="1687"/>
      <c r="H33" s="1669"/>
      <c r="I33" s="1675"/>
      <c r="J33" s="154"/>
      <c r="K33" s="154"/>
      <c r="L33" s="154"/>
      <c r="M33" s="154"/>
      <c r="N33" s="154"/>
      <c r="O33" s="154"/>
      <c r="P33" s="154"/>
      <c r="Q33" s="154"/>
      <c r="R33" s="154"/>
      <c r="S33" s="154"/>
      <c r="T33" s="154"/>
      <c r="U33" s="154"/>
      <c r="V33" s="154"/>
    </row>
    <row r="34" spans="1:22" ht="12.75" customHeight="1">
      <c r="A34" s="216" t="s">
        <v>166</v>
      </c>
      <c r="B34" s="174"/>
      <c r="C34" s="1686">
        <f>[2]!F001P100F2100SBBudgFY</f>
        <v>8297808</v>
      </c>
      <c r="D34" s="1668">
        <f>F001P100F2100O6100+F001P100F2100O6200</f>
        <v>8665714</v>
      </c>
      <c r="E34" s="1686">
        <f>[2]!F001P100F2100OthBudgFY</f>
        <v>95792</v>
      </c>
      <c r="F34" s="1668">
        <f>F001P100F2100O630064006500+F001P100F2100O6600+F001P100F2100O6800</f>
        <v>216947</v>
      </c>
      <c r="G34" s="1686">
        <f>C34+E34</f>
        <v>8393600</v>
      </c>
      <c r="H34" s="1668">
        <f>D34+F34</f>
        <v>8882661</v>
      </c>
      <c r="I34" s="1674">
        <f>IF(G34=H34,0,IF(G34&gt;0,(H34-G34)/G34,"--"))</f>
        <v>0.058</v>
      </c>
      <c r="J34" s="154"/>
      <c r="K34" s="154"/>
      <c r="L34" s="154"/>
      <c r="M34" s="154"/>
      <c r="N34" s="154"/>
      <c r="O34" s="154"/>
      <c r="P34" s="154"/>
      <c r="Q34" s="154"/>
      <c r="R34" s="154"/>
      <c r="S34" s="154"/>
      <c r="T34" s="154"/>
      <c r="U34" s="154"/>
      <c r="V34" s="154"/>
    </row>
    <row r="35" spans="1:22" ht="12.75" customHeight="1">
      <c r="A35" s="216" t="s">
        <v>168</v>
      </c>
      <c r="B35" s="218"/>
      <c r="C35" s="1687"/>
      <c r="D35" s="1669"/>
      <c r="E35" s="1687"/>
      <c r="F35" s="1669"/>
      <c r="G35" s="1687"/>
      <c r="H35" s="1669"/>
      <c r="I35" s="1675"/>
      <c r="J35" s="154"/>
      <c r="K35" s="154"/>
      <c r="L35" s="154"/>
      <c r="M35" s="154"/>
      <c r="N35" s="154"/>
      <c r="O35" s="154"/>
      <c r="P35" s="154"/>
      <c r="Q35" s="154"/>
      <c r="R35" s="154"/>
      <c r="S35" s="154"/>
      <c r="T35" s="154"/>
      <c r="U35" s="154"/>
      <c r="V35" s="154"/>
    </row>
    <row r="36" spans="1:22" ht="12.75" customHeight="1">
      <c r="A36" s="673" t="s">
        <v>169</v>
      </c>
      <c r="B36" s="174"/>
      <c r="C36" s="324">
        <f>[2]!F001P100F2200SBBudgFY</f>
        <v>3233995</v>
      </c>
      <c r="D36" s="217">
        <f>F001P100F2200O6100+F001P100F2200O6200</f>
        <v>2593995</v>
      </c>
      <c r="E36" s="324">
        <f>[2]!F001P100F2200OthBudgFY</f>
        <v>323052</v>
      </c>
      <c r="F36" s="217">
        <f>F001P100F2200O630064006500+F001P100F2200O6600+F001P100F2200O6800</f>
        <v>154744</v>
      </c>
      <c r="G36" s="324">
        <f aca="true" t="shared" si="0" ref="G36:H43">C36+E36</f>
        <v>3557047</v>
      </c>
      <c r="H36" s="217">
        <f t="shared" si="0"/>
        <v>2748739</v>
      </c>
      <c r="I36" s="504">
        <f>IF(G36=H36,0,IF(G36&gt;0,(H36-G36)/G36,"--"))</f>
        <v>-0.227</v>
      </c>
      <c r="J36" s="154"/>
      <c r="K36" s="154"/>
      <c r="L36" s="154"/>
      <c r="M36" s="154"/>
      <c r="N36" s="154"/>
      <c r="O36" s="154"/>
      <c r="P36" s="154"/>
      <c r="Q36" s="154"/>
      <c r="R36" s="154"/>
      <c r="S36" s="154"/>
      <c r="T36" s="154"/>
      <c r="U36" s="154"/>
      <c r="V36" s="154"/>
    </row>
    <row r="37" spans="1:22" ht="12.75" customHeight="1">
      <c r="A37" s="673" t="s">
        <v>336</v>
      </c>
      <c r="B37" s="695"/>
      <c r="C37" s="324">
        <f>[2]!F001P100F230024002500SBBudgFY</f>
        <v>15232696</v>
      </c>
      <c r="D37" s="217">
        <f>F001P100F2300O6100+F001P100F2400O6100+F001P100F2500O6100+F001P100F2300O6200+F001P100F2400O6200+F001P100F2500O6200</f>
        <v>15020542</v>
      </c>
      <c r="E37" s="324">
        <f>[2]!F001P100F230024002500OthBudgFY</f>
        <v>1795868</v>
      </c>
      <c r="F37" s="217">
        <f>F001P100F2300O630064006500+F001P100F2300O6600+F001P100F2300O6800+F001P100F2400O630064006500+F001P100F2400O6600+F001P100F2400O6800+F001P100F2500O630064006500+F001P100F2500O6600+F001P100F2500O6800</f>
        <v>2307657</v>
      </c>
      <c r="G37" s="324">
        <f t="shared" si="0"/>
        <v>17028564</v>
      </c>
      <c r="H37" s="217">
        <f t="shared" si="0"/>
        <v>17328199</v>
      </c>
      <c r="I37" s="504">
        <f>IF(G37=H37,0,IF(G37&gt;0,(H37-G37)/G37,"--"))</f>
        <v>0.018</v>
      </c>
      <c r="J37" s="154"/>
      <c r="K37" s="154"/>
      <c r="L37" s="154"/>
      <c r="M37" s="154"/>
      <c r="N37" s="154"/>
      <c r="O37" s="154"/>
      <c r="P37" s="154"/>
      <c r="Q37" s="154"/>
      <c r="R37" s="154"/>
      <c r="S37" s="154"/>
      <c r="T37" s="154"/>
      <c r="U37" s="154"/>
      <c r="V37" s="154"/>
    </row>
    <row r="38" spans="1:22" ht="12.75" customHeight="1">
      <c r="A38" s="673" t="s">
        <v>337</v>
      </c>
      <c r="B38" s="696"/>
      <c r="C38" s="324">
        <f>[2]!F001P100F2600SBBudgFY</f>
        <v>12025574</v>
      </c>
      <c r="D38" s="217">
        <f>F001P100F2600O6100+F001P100F2600O6200</f>
        <v>11850533</v>
      </c>
      <c r="E38" s="324">
        <f>[2]!F001P100F2600OthBudgFY</f>
        <v>11772167</v>
      </c>
      <c r="F38" s="219">
        <f>F001P100F2600O630064006500+F001P100F2600O6600+F001P100F2600O6800</f>
        <v>12186658</v>
      </c>
      <c r="G38" s="324">
        <f t="shared" si="0"/>
        <v>23797741</v>
      </c>
      <c r="H38" s="217">
        <f t="shared" si="0"/>
        <v>24037191</v>
      </c>
      <c r="I38" s="504">
        <f>IF(G38=H38,0,IF(G38&gt;0,(H38-G38)/G38,"--"))</f>
        <v>0.01</v>
      </c>
      <c r="J38" s="154"/>
      <c r="K38" s="154"/>
      <c r="L38" s="154"/>
      <c r="M38" s="154"/>
      <c r="N38" s="154"/>
      <c r="O38" s="154"/>
      <c r="P38" s="154"/>
      <c r="Q38" s="154"/>
      <c r="R38" s="154"/>
      <c r="S38" s="154"/>
      <c r="T38" s="154"/>
      <c r="U38" s="154"/>
      <c r="V38" s="154"/>
    </row>
    <row r="39" spans="1:22" ht="12.75" customHeight="1">
      <c r="A39" s="216" t="s">
        <v>15</v>
      </c>
      <c r="B39" s="174"/>
      <c r="C39" s="324">
        <f>[2]!F001P100F2900SBBudgFY</f>
        <v>0</v>
      </c>
      <c r="D39" s="217">
        <f>F001P100F2900O6100+F001P100F2900O6200</f>
        <v>0</v>
      </c>
      <c r="E39" s="324">
        <f>[2]!F001P100F2900OthBudgFY</f>
        <v>0</v>
      </c>
      <c r="F39" s="219">
        <f>F001P100F2900O630064006500+F001P100F2900O6600+F001P100F2900O6800</f>
        <v>0</v>
      </c>
      <c r="G39" s="324">
        <f t="shared" si="0"/>
        <v>0</v>
      </c>
      <c r="H39" s="217">
        <f t="shared" si="0"/>
        <v>0</v>
      </c>
      <c r="I39" s="504">
        <f>IF(G39=H39,0,IF(G39&gt;0,(H39-G39)/G39,"--"))</f>
        <v>0</v>
      </c>
      <c r="J39" s="154"/>
      <c r="K39" s="154"/>
      <c r="L39" s="154"/>
      <c r="M39" s="154"/>
      <c r="N39" s="154"/>
      <c r="O39" s="154"/>
      <c r="P39" s="154"/>
      <c r="Q39" s="154"/>
      <c r="R39" s="154"/>
      <c r="S39" s="154"/>
      <c r="T39" s="154"/>
      <c r="U39" s="154"/>
      <c r="V39" s="154"/>
    </row>
    <row r="40" spans="1:22" ht="12.75" customHeight="1">
      <c r="A40" s="216" t="s">
        <v>14</v>
      </c>
      <c r="B40" s="174"/>
      <c r="C40" s="324">
        <f>[2]!F001P100F3000SBBudgFY</f>
        <v>80000</v>
      </c>
      <c r="D40" s="217">
        <f>F001P100F3000O6100+F001P100F3000O6200</f>
        <v>237126</v>
      </c>
      <c r="E40" s="324">
        <f>[2]!F001P100F3000OthBudgFY</f>
        <v>228275</v>
      </c>
      <c r="F40" s="219">
        <f>F001P100F3000O630064006500+F001P100F3000O6600+F001P100F3000O6800</f>
        <v>99876</v>
      </c>
      <c r="G40" s="324">
        <f t="shared" si="0"/>
        <v>308275</v>
      </c>
      <c r="H40" s="217">
        <f t="shared" si="0"/>
        <v>337002</v>
      </c>
      <c r="I40" s="504">
        <f aca="true" t="shared" si="1" ref="I40:I45">IF(G40=H40,0,IF(G40&gt;0,(H40-G40)/G40,"--"))</f>
        <v>0.093</v>
      </c>
      <c r="J40" s="154"/>
      <c r="K40" s="154"/>
      <c r="L40" s="154"/>
      <c r="M40" s="154"/>
      <c r="N40" s="154"/>
      <c r="O40" s="154"/>
      <c r="P40" s="154"/>
      <c r="Q40" s="154"/>
      <c r="R40" s="154"/>
      <c r="S40" s="154"/>
      <c r="T40" s="154"/>
      <c r="U40" s="154"/>
      <c r="V40" s="154"/>
    </row>
    <row r="41" spans="1:22" ht="12.75" customHeight="1">
      <c r="A41" s="207" t="s">
        <v>311</v>
      </c>
      <c r="B41" s="174"/>
      <c r="C41" s="324">
        <f>[2]!F001P610SBBudgFY</f>
        <v>0</v>
      </c>
      <c r="D41" s="217">
        <f>F001P610O6100+F001P610O6200</f>
        <v>0</v>
      </c>
      <c r="E41" s="324">
        <f>[2]!F001P610OthBudgFY</f>
        <v>634</v>
      </c>
      <c r="F41" s="219">
        <f>F001P610O630064006500+F001P610O6600+F001P610O6800</f>
        <v>150</v>
      </c>
      <c r="G41" s="324">
        <f t="shared" si="0"/>
        <v>634</v>
      </c>
      <c r="H41" s="217">
        <f t="shared" si="0"/>
        <v>150</v>
      </c>
      <c r="I41" s="504">
        <f t="shared" si="1"/>
        <v>-0.763</v>
      </c>
      <c r="J41" s="154"/>
      <c r="K41" s="154"/>
      <c r="L41" s="154"/>
      <c r="M41" s="154"/>
      <c r="N41" s="154"/>
      <c r="O41" s="154"/>
      <c r="P41" s="154"/>
      <c r="Q41" s="154"/>
      <c r="R41" s="154"/>
      <c r="S41" s="154"/>
      <c r="T41" s="154"/>
      <c r="U41" s="154"/>
      <c r="V41" s="154"/>
    </row>
    <row r="42" spans="1:22" ht="12.75" customHeight="1">
      <c r="A42" s="207" t="s">
        <v>198</v>
      </c>
      <c r="B42" s="174"/>
      <c r="C42" s="324">
        <f>[2]!F001P620SBBudgFY</f>
        <v>1612199</v>
      </c>
      <c r="D42" s="217">
        <f>F001P620O6100+F001P620O6200</f>
        <v>1953308</v>
      </c>
      <c r="E42" s="324">
        <f>[2]!F001P620OthBudgFY</f>
        <v>40407</v>
      </c>
      <c r="F42" s="219">
        <f>F001P620O630064006500+F001P620O6600+F001P620O6800</f>
        <v>66168</v>
      </c>
      <c r="G42" s="324">
        <f t="shared" si="0"/>
        <v>1652606</v>
      </c>
      <c r="H42" s="217">
        <f t="shared" si="0"/>
        <v>2019476</v>
      </c>
      <c r="I42" s="504">
        <f t="shared" si="1"/>
        <v>0.222</v>
      </c>
      <c r="J42" s="154"/>
      <c r="K42" s="154"/>
      <c r="L42" s="154"/>
      <c r="M42" s="154"/>
      <c r="N42" s="154"/>
      <c r="O42" s="154"/>
      <c r="P42" s="154"/>
      <c r="Q42" s="154"/>
      <c r="R42" s="154"/>
      <c r="S42" s="154"/>
      <c r="T42" s="154"/>
      <c r="U42" s="154"/>
      <c r="V42" s="154"/>
    </row>
    <row r="43" spans="1:22" ht="12.75" customHeight="1">
      <c r="A43" s="207" t="s">
        <v>200</v>
      </c>
      <c r="B43" s="174"/>
      <c r="C43" s="324">
        <f>[2]!F001P630700800900SBBudgFY</f>
        <v>205425</v>
      </c>
      <c r="D43" s="660">
        <f>F001P630O6100+F001P630O6200+F001P700800900O6100+F001P700800900O6200</f>
        <v>84086</v>
      </c>
      <c r="E43" s="658">
        <f>[2]!F001P630700800900OthBudgFY</f>
        <v>-117</v>
      </c>
      <c r="F43" s="658">
        <f>F001P630O630064006500+F001P630O6600+F001P630O6800+F001P700800900O630064006500+F001P700800900O6600+F001P700800900O6800</f>
        <v>0</v>
      </c>
      <c r="G43" s="658">
        <f t="shared" si="0"/>
        <v>205308</v>
      </c>
      <c r="H43" s="660">
        <f t="shared" si="0"/>
        <v>84086</v>
      </c>
      <c r="I43" s="504">
        <f t="shared" si="1"/>
        <v>-0.59</v>
      </c>
      <c r="J43" s="154"/>
      <c r="K43" s="154"/>
      <c r="L43" s="154"/>
      <c r="M43" s="154"/>
      <c r="N43" s="154"/>
      <c r="O43" s="154"/>
      <c r="P43" s="154"/>
      <c r="Q43" s="154"/>
      <c r="R43" s="154"/>
      <c r="S43" s="154"/>
      <c r="T43" s="154"/>
      <c r="U43" s="154"/>
      <c r="V43" s="154"/>
    </row>
    <row r="44" spans="1:22" ht="12.75" customHeight="1">
      <c r="A44" s="281" t="s">
        <v>16</v>
      </c>
      <c r="B44" s="208"/>
      <c r="C44" s="217">
        <f aca="true" t="shared" si="2" ref="C44:H44">SUM(C32:C43)</f>
        <v>138326484</v>
      </c>
      <c r="D44" s="217">
        <f t="shared" si="2"/>
        <v>131601318</v>
      </c>
      <c r="E44" s="217">
        <f t="shared" si="2"/>
        <v>19142905</v>
      </c>
      <c r="F44" s="217">
        <f t="shared" si="2"/>
        <v>19036584</v>
      </c>
      <c r="G44" s="217">
        <f t="shared" si="2"/>
        <v>157469389</v>
      </c>
      <c r="H44" s="217">
        <f t="shared" si="2"/>
        <v>150637902</v>
      </c>
      <c r="I44" s="504">
        <f t="shared" si="1"/>
        <v>-0.043</v>
      </c>
      <c r="J44" s="154"/>
      <c r="K44" s="154"/>
      <c r="L44" s="154"/>
      <c r="M44" s="154"/>
      <c r="N44" s="154"/>
      <c r="O44" s="154"/>
      <c r="P44" s="154"/>
      <c r="Q44" s="154"/>
      <c r="R44" s="154"/>
      <c r="S44" s="154"/>
      <c r="T44" s="154"/>
      <c r="U44" s="154"/>
      <c r="V44" s="154"/>
    </row>
    <row r="45" spans="1:22" ht="12.75" customHeight="1">
      <c r="A45" s="216" t="s">
        <v>687</v>
      </c>
      <c r="B45" s="174"/>
      <c r="C45" s="1686">
        <f>[2]!F001P200F1000SBBudgFY</f>
        <v>27984856</v>
      </c>
      <c r="D45" s="1668">
        <f>F001P200F1000O6100+F001P200F1000O6200</f>
        <v>31913780</v>
      </c>
      <c r="E45" s="1686">
        <f>[2]!F001P200F1000OthBudgFY</f>
        <v>2301766</v>
      </c>
      <c r="F45" s="1668">
        <f>F001P200F1000O630064006500+F001P200F1000O6600+F001P200F1000O6800</f>
        <v>757564</v>
      </c>
      <c r="G45" s="1686">
        <f>C45+E45</f>
        <v>30286622</v>
      </c>
      <c r="H45" s="1668">
        <f>D45+F45</f>
        <v>32671344</v>
      </c>
      <c r="I45" s="1674">
        <f t="shared" si="1"/>
        <v>0.079</v>
      </c>
      <c r="J45" s="154"/>
      <c r="K45" s="154"/>
      <c r="L45" s="154"/>
      <c r="M45" s="154"/>
      <c r="N45" s="154"/>
      <c r="O45" s="154"/>
      <c r="P45" s="154"/>
      <c r="Q45" s="154"/>
      <c r="R45" s="154"/>
      <c r="S45" s="154"/>
      <c r="T45" s="154"/>
      <c r="U45" s="154"/>
      <c r="V45" s="154"/>
    </row>
    <row r="46" spans="1:22" ht="12.75" customHeight="1">
      <c r="A46" s="216" t="s">
        <v>570</v>
      </c>
      <c r="B46" s="174"/>
      <c r="C46" s="1687"/>
      <c r="D46" s="1669"/>
      <c r="E46" s="1687"/>
      <c r="F46" s="1669"/>
      <c r="G46" s="1687"/>
      <c r="H46" s="1669"/>
      <c r="I46" s="1675"/>
      <c r="J46" s="154"/>
      <c r="K46" s="154"/>
      <c r="L46" s="154"/>
      <c r="M46" s="154"/>
      <c r="N46" s="154"/>
      <c r="O46" s="154"/>
      <c r="P46" s="154"/>
      <c r="Q46" s="154"/>
      <c r="R46" s="154"/>
      <c r="S46" s="154"/>
      <c r="T46" s="154"/>
      <c r="U46" s="154"/>
      <c r="V46" s="154"/>
    </row>
    <row r="47" spans="1:22" ht="12.75" customHeight="1">
      <c r="A47" s="216" t="s">
        <v>166</v>
      </c>
      <c r="B47" s="174"/>
      <c r="C47" s="1686">
        <f>[2]!F001P200F2100SBBudgFY</f>
        <v>8336138</v>
      </c>
      <c r="D47" s="1668">
        <f>F001P200F2100O6100+F001P200F2100O6200</f>
        <v>10541312</v>
      </c>
      <c r="E47" s="1686">
        <f>[2]!F001P200F2100OthBudgFY</f>
        <v>653686</v>
      </c>
      <c r="F47" s="1668">
        <f>F001P200F2100O630064006500+F001P200F2100O6600+F001P200F2100O6800</f>
        <v>682813</v>
      </c>
      <c r="G47" s="1686">
        <f>C47+E47</f>
        <v>8989824</v>
      </c>
      <c r="H47" s="1668">
        <f>D47+F47</f>
        <v>11224125</v>
      </c>
      <c r="I47" s="1674">
        <f>IF(G47=H47,0,IF(G47&gt;0,(H47-G47)/G47,"--"))</f>
        <v>0.249</v>
      </c>
      <c r="J47" s="154"/>
      <c r="K47" s="154"/>
      <c r="L47" s="154"/>
      <c r="M47" s="154"/>
      <c r="N47" s="154"/>
      <c r="O47" s="154"/>
      <c r="P47" s="154"/>
      <c r="Q47" s="154"/>
      <c r="R47" s="154"/>
      <c r="S47" s="154"/>
      <c r="T47" s="154"/>
      <c r="U47" s="154"/>
      <c r="V47" s="154"/>
    </row>
    <row r="48" spans="1:22" ht="12.75" customHeight="1">
      <c r="A48" s="216" t="s">
        <v>168</v>
      </c>
      <c r="B48" s="218"/>
      <c r="C48" s="1687"/>
      <c r="D48" s="1669"/>
      <c r="E48" s="1687"/>
      <c r="F48" s="1669"/>
      <c r="G48" s="1476"/>
      <c r="H48" s="1669"/>
      <c r="I48" s="1675"/>
      <c r="J48" s="154"/>
      <c r="K48" s="154"/>
      <c r="L48" s="154"/>
      <c r="M48" s="154"/>
      <c r="N48" s="154"/>
      <c r="O48" s="154"/>
      <c r="P48" s="154"/>
      <c r="Q48" s="154"/>
      <c r="R48" s="154"/>
      <c r="S48" s="154"/>
      <c r="T48" s="154"/>
      <c r="U48" s="154"/>
      <c r="V48" s="154"/>
    </row>
    <row r="49" spans="1:22" ht="12.75" customHeight="1">
      <c r="A49" s="673" t="s">
        <v>169</v>
      </c>
      <c r="B49" s="174"/>
      <c r="C49" s="324">
        <f>[2]!F001P200F2200SBBudgFY</f>
        <v>814349</v>
      </c>
      <c r="D49" s="219">
        <f>F001P200F2200O6100+F001P200F2200O6200</f>
        <v>1139414</v>
      </c>
      <c r="E49" s="324">
        <f>[2]!F001P200F2200OthBudgFY</f>
        <v>14570</v>
      </c>
      <c r="F49" s="217">
        <f>F001P200F2200O630064006500+F001P200F2200O6600+F001P200F2200O6800</f>
        <v>12237</v>
      </c>
      <c r="G49" s="324">
        <f aca="true" t="shared" si="3" ref="G49:G58">C49+E49</f>
        <v>828919</v>
      </c>
      <c r="H49" s="217">
        <f aca="true" t="shared" si="4" ref="H49:H58">D49+F49</f>
        <v>1151651</v>
      </c>
      <c r="I49" s="504">
        <f aca="true" t="shared" si="5" ref="I49:I61">IF(G49=H49,0,IF(G49&gt;0,(H49-G49)/G49,"--"))</f>
        <v>0.389</v>
      </c>
      <c r="J49" s="154"/>
      <c r="K49" s="154"/>
      <c r="L49" s="154"/>
      <c r="M49" s="154"/>
      <c r="N49" s="154"/>
      <c r="O49" s="154"/>
      <c r="P49" s="154"/>
      <c r="Q49" s="154"/>
      <c r="R49" s="154"/>
      <c r="S49" s="154"/>
      <c r="T49" s="154"/>
      <c r="U49" s="154"/>
      <c r="V49" s="154"/>
    </row>
    <row r="50" spans="1:22" ht="12.75" customHeight="1">
      <c r="A50" s="673" t="s">
        <v>336</v>
      </c>
      <c r="B50" s="695"/>
      <c r="C50" s="324">
        <f>[2]!F001P200F230024002500SBBudgFY</f>
        <v>17885</v>
      </c>
      <c r="D50" s="219">
        <f>F001P200F2300O6100+F001P200F2300O6200+F001P200F2400O6100+F001P200F2400O6200+F001P200F2500O6100+F001P200F2500O6200</f>
        <v>10253</v>
      </c>
      <c r="E50" s="324">
        <f>[2]!F001P200F230024002500OthBudgFY</f>
        <v>21430</v>
      </c>
      <c r="F50" s="219">
        <f>F001P200F2300O630064006500+F001P200F2300O6600+F001P200F2300O6800+F001P200F2400O630064006500+F001P200F2400O6600+F001P200F2400O6800+F001P200F2500O630064006500+F001P200F2500O6600+F001P200F2500O6800</f>
        <v>612</v>
      </c>
      <c r="G50" s="324">
        <f t="shared" si="3"/>
        <v>39315</v>
      </c>
      <c r="H50" s="217">
        <f t="shared" si="4"/>
        <v>10865</v>
      </c>
      <c r="I50" s="504">
        <f t="shared" si="5"/>
        <v>-0.724</v>
      </c>
      <c r="J50" s="154"/>
      <c r="K50" s="154"/>
      <c r="L50" s="154"/>
      <c r="M50" s="154"/>
      <c r="N50" s="154"/>
      <c r="O50" s="154"/>
      <c r="P50" s="154"/>
      <c r="Q50" s="154"/>
      <c r="R50" s="154"/>
      <c r="S50" s="154"/>
      <c r="T50" s="154"/>
      <c r="U50" s="154"/>
      <c r="V50" s="154"/>
    </row>
    <row r="51" spans="1:22" ht="12.75" customHeight="1">
      <c r="A51" s="673" t="s">
        <v>337</v>
      </c>
      <c r="B51" s="696"/>
      <c r="C51" s="324">
        <f>[2]!F001P200F2600SBBudgFY</f>
        <v>2419</v>
      </c>
      <c r="D51" s="219">
        <f>F001P200F2600O6100+F001P200F2600O6200</f>
        <v>0</v>
      </c>
      <c r="E51" s="324">
        <f>[2]!F001P200F2600OthBudgFY</f>
        <v>1026</v>
      </c>
      <c r="F51" s="219">
        <f>F001P200F2600O630064006500+F001P200F2600O6600+F001P200F2600O6800</f>
        <v>4718</v>
      </c>
      <c r="G51" s="324">
        <f t="shared" si="3"/>
        <v>3445</v>
      </c>
      <c r="H51" s="217">
        <f t="shared" si="4"/>
        <v>4718</v>
      </c>
      <c r="I51" s="504">
        <f t="shared" si="5"/>
        <v>0.37</v>
      </c>
      <c r="J51" s="154"/>
      <c r="K51" s="154"/>
      <c r="L51" s="154"/>
      <c r="M51" s="154"/>
      <c r="N51" s="154"/>
      <c r="O51" s="154"/>
      <c r="P51" s="154"/>
      <c r="Q51" s="154"/>
      <c r="R51" s="154"/>
      <c r="S51" s="154"/>
      <c r="T51" s="154"/>
      <c r="U51" s="154"/>
      <c r="V51" s="154"/>
    </row>
    <row r="52" spans="1:22" ht="12.75" customHeight="1">
      <c r="A52" s="216" t="s">
        <v>15</v>
      </c>
      <c r="B52" s="174"/>
      <c r="C52" s="324">
        <f>[2]!F001P200F2900SBBudgFY</f>
        <v>0</v>
      </c>
      <c r="D52" s="219">
        <f>F001P200F2900O6100+F001P200F2900O6200</f>
        <v>0</v>
      </c>
      <c r="E52" s="324">
        <f>[2]!F001P200F2900OthBudgFY</f>
        <v>0</v>
      </c>
      <c r="F52" s="219">
        <f>F001P200F2900O630064006500+F001P200F2900O6600+F001P200F2900O6800</f>
        <v>0</v>
      </c>
      <c r="G52" s="324">
        <f t="shared" si="3"/>
        <v>0</v>
      </c>
      <c r="H52" s="217">
        <f t="shared" si="4"/>
        <v>0</v>
      </c>
      <c r="I52" s="504">
        <f t="shared" si="5"/>
        <v>0</v>
      </c>
      <c r="J52" s="154"/>
      <c r="K52" s="154"/>
      <c r="L52" s="154"/>
      <c r="M52" s="154"/>
      <c r="N52" s="154"/>
      <c r="O52" s="154"/>
      <c r="P52" s="154"/>
      <c r="Q52" s="154"/>
      <c r="R52" s="154"/>
      <c r="S52" s="154"/>
      <c r="T52" s="154"/>
      <c r="U52" s="154"/>
      <c r="V52" s="154"/>
    </row>
    <row r="53" spans="1:22" ht="12.75" customHeight="1">
      <c r="A53" s="216" t="s">
        <v>14</v>
      </c>
      <c r="B53" s="174"/>
      <c r="C53" s="324">
        <f>[2]!F001P200F3000SBBudgFY</f>
        <v>1787</v>
      </c>
      <c r="D53" s="219">
        <f>F001P200F3000O6100+F001P200F3000O6200</f>
        <v>0</v>
      </c>
      <c r="E53" s="324">
        <f>[2]!F001P200F3000OthBudgFY</f>
        <v>0</v>
      </c>
      <c r="F53" s="219">
        <f>F001P200F3000O630064006500+F001P200F3000O6600+F001P200F3000O6800</f>
        <v>0</v>
      </c>
      <c r="G53" s="324">
        <f t="shared" si="3"/>
        <v>1787</v>
      </c>
      <c r="H53" s="217">
        <f t="shared" si="4"/>
        <v>0</v>
      </c>
      <c r="I53" s="504">
        <f t="shared" si="5"/>
        <v>-1</v>
      </c>
      <c r="J53" s="154"/>
      <c r="K53" s="154"/>
      <c r="L53" s="154"/>
      <c r="M53" s="154"/>
      <c r="N53" s="154"/>
      <c r="O53" s="154"/>
      <c r="P53" s="154"/>
      <c r="Q53" s="154"/>
      <c r="R53" s="154"/>
      <c r="S53" s="154"/>
      <c r="T53" s="154"/>
      <c r="U53" s="154"/>
      <c r="V53" s="154"/>
    </row>
    <row r="54" spans="1:22" ht="12.75" customHeight="1">
      <c r="A54" s="281" t="s">
        <v>80</v>
      </c>
      <c r="B54" s="174"/>
      <c r="C54" s="222">
        <f aca="true" t="shared" si="6" ref="C54:H54">SUM(C45:C53)</f>
        <v>37157434</v>
      </c>
      <c r="D54" s="222">
        <f t="shared" si="6"/>
        <v>43604759</v>
      </c>
      <c r="E54" s="222">
        <f t="shared" si="6"/>
        <v>2992478</v>
      </c>
      <c r="F54" s="222">
        <f t="shared" si="6"/>
        <v>1457944</v>
      </c>
      <c r="G54" s="324">
        <f t="shared" si="6"/>
        <v>40149912</v>
      </c>
      <c r="H54" s="324">
        <f t="shared" si="6"/>
        <v>45062703</v>
      </c>
      <c r="I54" s="504">
        <f t="shared" si="5"/>
        <v>0.122</v>
      </c>
      <c r="J54" s="154"/>
      <c r="K54" s="154"/>
      <c r="L54" s="154"/>
      <c r="M54" s="154"/>
      <c r="N54" s="154"/>
      <c r="O54" s="154"/>
      <c r="P54" s="154"/>
      <c r="Q54" s="154"/>
      <c r="R54" s="154"/>
      <c r="S54" s="154"/>
      <c r="T54" s="154"/>
      <c r="U54" s="154"/>
      <c r="V54" s="154"/>
    </row>
    <row r="55" spans="1:22" ht="12.75" customHeight="1">
      <c r="A55" s="220" t="s">
        <v>188</v>
      </c>
      <c r="B55" s="221"/>
      <c r="C55" s="324">
        <f>[2]!F001P400SBBudgFY</f>
        <v>7990264</v>
      </c>
      <c r="D55" s="222">
        <f>F001P400O6100+F001P400O6200</f>
        <v>8141302</v>
      </c>
      <c r="E55" s="324">
        <f>[2]!F001P400OthBudgFy</f>
        <v>2674598</v>
      </c>
      <c r="F55" s="222">
        <f>F001P400O630064006500+F001P400O6600+F001P400O6800</f>
        <v>3351939</v>
      </c>
      <c r="G55" s="324">
        <f t="shared" si="3"/>
        <v>10664862</v>
      </c>
      <c r="H55" s="217">
        <f t="shared" si="4"/>
        <v>11493241</v>
      </c>
      <c r="I55" s="504">
        <f t="shared" si="5"/>
        <v>0.078</v>
      </c>
      <c r="J55" s="154"/>
      <c r="K55" s="154"/>
      <c r="L55" s="154"/>
      <c r="M55" s="154"/>
      <c r="N55" s="154"/>
      <c r="O55" s="154"/>
      <c r="P55" s="154"/>
      <c r="Q55" s="154"/>
      <c r="R55" s="154"/>
      <c r="S55" s="154"/>
      <c r="T55" s="154"/>
      <c r="U55" s="154"/>
      <c r="V55" s="154"/>
    </row>
    <row r="56" spans="1:22" ht="12.75" customHeight="1">
      <c r="A56" s="656" t="s">
        <v>190</v>
      </c>
      <c r="B56" s="657"/>
      <c r="C56" s="658">
        <f>[2]!F001P510SBBudgFY</f>
        <v>0</v>
      </c>
      <c r="D56" s="659">
        <f>F001P510O6100+F001P510O6200</f>
        <v>0</v>
      </c>
      <c r="E56" s="658">
        <f>[2]!F001P510OthBudgFY</f>
        <v>0</v>
      </c>
      <c r="F56" s="659">
        <f>F001P510O630064006500+F001P510O6600+F001P510O6800</f>
        <v>0</v>
      </c>
      <c r="G56" s="658">
        <f t="shared" si="3"/>
        <v>0</v>
      </c>
      <c r="H56" s="660">
        <f t="shared" si="4"/>
        <v>0</v>
      </c>
      <c r="I56" s="661">
        <f t="shared" si="5"/>
        <v>0</v>
      </c>
      <c r="J56" s="154"/>
      <c r="K56" s="154"/>
      <c r="L56" s="154"/>
      <c r="M56" s="154"/>
      <c r="N56" s="154"/>
      <c r="O56" s="154"/>
      <c r="P56" s="154"/>
      <c r="Q56" s="154"/>
      <c r="R56" s="154"/>
      <c r="S56" s="154"/>
      <c r="T56" s="154"/>
      <c r="U56" s="154"/>
      <c r="V56" s="154"/>
    </row>
    <row r="57" spans="1:22" ht="12.75" customHeight="1">
      <c r="A57" s="220" t="s">
        <v>193</v>
      </c>
      <c r="B57" s="221"/>
      <c r="C57" s="324">
        <f>[2]!F001P530SBBudgFY</f>
        <v>0</v>
      </c>
      <c r="D57" s="222">
        <f>F001P530O6100+F001P530O6200</f>
        <v>0</v>
      </c>
      <c r="E57" s="324">
        <f>[2]!F001P530OthBudgFY</f>
        <v>0</v>
      </c>
      <c r="F57" s="222">
        <f>F001P530O630064006500+F001P530O6600+F001P530O6800</f>
        <v>0</v>
      </c>
      <c r="G57" s="324">
        <f t="shared" si="3"/>
        <v>0</v>
      </c>
      <c r="H57" s="217">
        <f t="shared" si="4"/>
        <v>0</v>
      </c>
      <c r="I57" s="504">
        <f t="shared" si="5"/>
        <v>0</v>
      </c>
      <c r="J57" s="154"/>
      <c r="K57" s="154"/>
      <c r="L57" s="154"/>
      <c r="M57" s="154"/>
      <c r="N57" s="154"/>
      <c r="O57" s="154"/>
      <c r="P57" s="154"/>
      <c r="Q57" s="154"/>
      <c r="R57" s="154"/>
      <c r="S57" s="154"/>
      <c r="T57" s="154"/>
      <c r="U57" s="154"/>
      <c r="V57" s="154"/>
    </row>
    <row r="58" spans="1:22" ht="12.75" customHeight="1">
      <c r="A58" s="471" t="s">
        <v>396</v>
      </c>
      <c r="B58" s="472"/>
      <c r="C58" s="1686">
        <f>[2]!F001P540SBBudgFY</f>
        <v>0</v>
      </c>
      <c r="D58" s="1692">
        <f>F001P540O6100+F001P540O6200</f>
        <v>0</v>
      </c>
      <c r="E58" s="1686">
        <f>[2]!F001P540OthBudgFY</f>
        <v>0</v>
      </c>
      <c r="F58" s="1692">
        <f>F001P540O630064006500+F001P540O6600+F001P540O6800</f>
        <v>0</v>
      </c>
      <c r="G58" s="1686">
        <f t="shared" si="3"/>
        <v>0</v>
      </c>
      <c r="H58" s="1690">
        <f t="shared" si="4"/>
        <v>0</v>
      </c>
      <c r="I58" s="1674">
        <f t="shared" si="5"/>
        <v>0</v>
      </c>
      <c r="J58" s="154"/>
      <c r="K58" s="154"/>
      <c r="L58" s="154"/>
      <c r="M58" s="154"/>
      <c r="N58" s="154"/>
      <c r="O58" s="154"/>
      <c r="P58" s="154"/>
      <c r="Q58" s="154"/>
      <c r="R58" s="154"/>
      <c r="S58" s="154"/>
      <c r="T58" s="154"/>
      <c r="U58" s="154"/>
      <c r="V58" s="154"/>
    </row>
    <row r="59" spans="1:22" ht="12.75" customHeight="1">
      <c r="A59" s="471" t="s">
        <v>361</v>
      </c>
      <c r="B59" s="472"/>
      <c r="C59" s="1694"/>
      <c r="D59" s="1693"/>
      <c r="E59" s="1694"/>
      <c r="F59" s="1693"/>
      <c r="G59" s="1694"/>
      <c r="H59" s="1691"/>
      <c r="I59" s="1695"/>
      <c r="J59" s="154"/>
      <c r="K59" s="154"/>
      <c r="L59" s="154"/>
      <c r="M59" s="154"/>
      <c r="N59" s="154"/>
      <c r="O59" s="154"/>
      <c r="P59" s="154"/>
      <c r="Q59" s="154"/>
      <c r="R59" s="154"/>
      <c r="S59" s="154"/>
      <c r="T59" s="154"/>
      <c r="U59" s="154"/>
      <c r="V59" s="154"/>
    </row>
    <row r="60" spans="1:22" ht="9.75" customHeight="1">
      <c r="A60" s="891" t="s">
        <v>480</v>
      </c>
      <c r="B60" s="870"/>
      <c r="C60" s="324">
        <f>[2]!F001P550SBBudgFY</f>
        <v>1214633</v>
      </c>
      <c r="D60" s="872">
        <f>F001P550O6100+F001P550O6200</f>
        <v>983665</v>
      </c>
      <c r="E60" s="324">
        <f>[2]!F001P550OthBudgFY</f>
        <v>0</v>
      </c>
      <c r="F60" s="872">
        <f>F001P550O630064006500+F001P550O6600+F001P550O6800</f>
        <v>0</v>
      </c>
      <c r="G60" s="324">
        <f>C60+E60</f>
        <v>1214633</v>
      </c>
      <c r="H60" s="871">
        <f>D60+F60</f>
        <v>983665</v>
      </c>
      <c r="I60" s="962">
        <f t="shared" si="5"/>
        <v>-0.19</v>
      </c>
      <c r="J60" s="154"/>
      <c r="K60" s="154"/>
      <c r="L60" s="154"/>
      <c r="M60" s="154"/>
      <c r="N60" s="154"/>
      <c r="O60" s="154"/>
      <c r="P60" s="154"/>
      <c r="Q60" s="154"/>
      <c r="R60" s="154"/>
      <c r="S60" s="154"/>
      <c r="T60" s="154"/>
      <c r="U60" s="154"/>
      <c r="V60" s="154"/>
    </row>
    <row r="61" spans="1:22" ht="12.75" customHeight="1">
      <c r="A61" s="282" t="s">
        <v>17</v>
      </c>
      <c r="B61" s="223"/>
      <c r="C61" s="222">
        <f aca="true" t="shared" si="7" ref="C61:H61">SUM(C54:C60)+C44</f>
        <v>184688815</v>
      </c>
      <c r="D61" s="222">
        <f t="shared" si="7"/>
        <v>184331044</v>
      </c>
      <c r="E61" s="222">
        <f t="shared" si="7"/>
        <v>24809981</v>
      </c>
      <c r="F61" s="222">
        <f t="shared" si="7"/>
        <v>23846467</v>
      </c>
      <c r="G61" s="222">
        <f t="shared" si="7"/>
        <v>209498796</v>
      </c>
      <c r="H61" s="222">
        <f t="shared" si="7"/>
        <v>208177511</v>
      </c>
      <c r="I61" s="504">
        <f t="shared" si="5"/>
        <v>-0.006</v>
      </c>
      <c r="J61" s="154"/>
      <c r="K61" s="154"/>
      <c r="L61" s="154"/>
      <c r="M61" s="154"/>
      <c r="N61" s="154"/>
      <c r="O61" s="154"/>
      <c r="P61" s="154"/>
      <c r="Q61" s="154"/>
      <c r="R61" s="154"/>
      <c r="S61" s="154"/>
      <c r="T61" s="154"/>
      <c r="U61" s="154"/>
      <c r="V61" s="154"/>
    </row>
    <row r="62" spans="1:22" ht="12.75" customHeight="1">
      <c r="A62" s="174"/>
      <c r="B62" s="175"/>
      <c r="C62" s="175"/>
      <c r="D62" s="175"/>
      <c r="E62" s="175"/>
      <c r="F62" s="175"/>
      <c r="G62" s="175"/>
      <c r="H62" s="175"/>
      <c r="I62" s="175"/>
      <c r="J62" s="154"/>
      <c r="K62" s="154"/>
      <c r="L62" s="154"/>
      <c r="M62" s="154"/>
      <c r="N62" s="154"/>
      <c r="O62" s="154"/>
      <c r="P62" s="154"/>
      <c r="Q62" s="154"/>
      <c r="R62" s="154"/>
      <c r="S62" s="154"/>
      <c r="T62" s="154"/>
      <c r="U62" s="154"/>
      <c r="V62" s="154"/>
    </row>
    <row r="63" spans="1:22" ht="12">
      <c r="A63" s="176"/>
      <c r="B63" s="202"/>
      <c r="C63" s="178"/>
      <c r="D63" s="178"/>
      <c r="E63" s="178"/>
      <c r="F63" s="178"/>
      <c r="G63" s="178"/>
      <c r="H63" s="178"/>
      <c r="I63" s="177"/>
      <c r="J63" s="154"/>
      <c r="K63" s="154"/>
      <c r="L63" s="154"/>
      <c r="M63" s="154"/>
      <c r="N63" s="154"/>
      <c r="O63" s="154"/>
      <c r="P63" s="154"/>
      <c r="Q63" s="154"/>
      <c r="R63" s="154"/>
      <c r="S63" s="154"/>
      <c r="T63" s="154"/>
      <c r="U63" s="154"/>
      <c r="V63" s="154"/>
    </row>
    <row r="64" spans="1:22" ht="12">
      <c r="A64" s="175"/>
      <c r="B64" s="175"/>
      <c r="H64" s="174"/>
      <c r="I64" s="175"/>
      <c r="J64" s="154"/>
      <c r="K64" s="154"/>
      <c r="L64" s="154"/>
      <c r="M64" s="154"/>
      <c r="N64" s="154"/>
      <c r="O64" s="154"/>
      <c r="P64" s="154"/>
      <c r="Q64" s="154"/>
      <c r="R64" s="154"/>
      <c r="S64" s="154"/>
      <c r="T64" s="154"/>
      <c r="U64" s="154"/>
      <c r="V64" s="154"/>
    </row>
    <row r="65" spans="2:22" ht="12">
      <c r="B65" s="175"/>
      <c r="H65" s="174"/>
      <c r="J65" s="154"/>
      <c r="K65" s="154"/>
      <c r="L65" s="154"/>
      <c r="M65" s="154"/>
      <c r="N65" s="154"/>
      <c r="O65" s="154"/>
      <c r="P65" s="154"/>
      <c r="Q65" s="154"/>
      <c r="R65" s="154"/>
      <c r="S65" s="154"/>
      <c r="T65" s="154"/>
      <c r="U65" s="154"/>
      <c r="V65" s="154"/>
    </row>
    <row r="66" spans="1:22" ht="12">
      <c r="A66" s="175"/>
      <c r="B66" s="175"/>
      <c r="H66" s="174"/>
      <c r="I66" s="175"/>
      <c r="J66" s="154"/>
      <c r="K66" s="154"/>
      <c r="L66" s="154"/>
      <c r="M66" s="154"/>
      <c r="N66" s="154"/>
      <c r="O66" s="154"/>
      <c r="P66" s="154"/>
      <c r="Q66" s="154"/>
      <c r="R66" s="154"/>
      <c r="S66" s="154"/>
      <c r="T66" s="154"/>
      <c r="U66" s="154"/>
      <c r="V66" s="154"/>
    </row>
    <row r="67" spans="1:22" ht="12">
      <c r="A67" s="175"/>
      <c r="B67" s="175"/>
      <c r="C67" s="176"/>
      <c r="D67" s="174"/>
      <c r="E67" s="174"/>
      <c r="F67" s="174"/>
      <c r="G67" s="174"/>
      <c r="H67" s="174"/>
      <c r="I67" s="175"/>
      <c r="J67" s="154"/>
      <c r="K67" s="154"/>
      <c r="L67" s="154"/>
      <c r="M67" s="154"/>
      <c r="N67" s="154"/>
      <c r="O67" s="154"/>
      <c r="P67" s="154"/>
      <c r="Q67" s="154"/>
      <c r="R67" s="154"/>
      <c r="S67" s="154"/>
      <c r="T67" s="154"/>
      <c r="U67" s="154"/>
      <c r="V67" s="154"/>
    </row>
    <row r="68" spans="2:22" ht="12">
      <c r="B68" s="175"/>
      <c r="D68" s="174"/>
      <c r="E68" s="174"/>
      <c r="F68" s="174"/>
      <c r="G68" s="174"/>
      <c r="H68" s="174"/>
      <c r="I68" s="175"/>
      <c r="J68" s="154"/>
      <c r="K68" s="154"/>
      <c r="L68" s="154"/>
      <c r="M68" s="154"/>
      <c r="N68" s="154"/>
      <c r="O68" s="154"/>
      <c r="P68" s="154"/>
      <c r="Q68" s="154"/>
      <c r="R68" s="154"/>
      <c r="S68" s="154"/>
      <c r="T68" s="154"/>
      <c r="U68" s="154"/>
      <c r="V68" s="154"/>
    </row>
    <row r="69" spans="1:22" ht="12">
      <c r="A69" s="175"/>
      <c r="B69" s="175"/>
      <c r="C69" s="175"/>
      <c r="D69" s="175"/>
      <c r="E69" s="175"/>
      <c r="F69" s="175"/>
      <c r="G69" s="175"/>
      <c r="H69" s="175"/>
      <c r="I69" s="175"/>
      <c r="J69" s="154"/>
      <c r="K69" s="154"/>
      <c r="L69" s="154"/>
      <c r="M69" s="154"/>
      <c r="N69" s="154"/>
      <c r="O69" s="154"/>
      <c r="P69" s="154"/>
      <c r="Q69" s="154"/>
      <c r="R69" s="154"/>
      <c r="S69" s="154"/>
      <c r="T69" s="154"/>
      <c r="U69" s="154"/>
      <c r="V69" s="154"/>
    </row>
    <row r="70" spans="1:22" ht="12">
      <c r="A70" s="175"/>
      <c r="B70" s="175"/>
      <c r="C70" s="175"/>
      <c r="D70" s="175"/>
      <c r="E70" s="175"/>
      <c r="F70" s="175"/>
      <c r="G70" s="175"/>
      <c r="H70" s="175"/>
      <c r="I70" s="175"/>
      <c r="J70" s="154"/>
      <c r="K70" s="154"/>
      <c r="L70" s="154"/>
      <c r="M70" s="154"/>
      <c r="N70" s="154"/>
      <c r="O70" s="154"/>
      <c r="P70" s="154"/>
      <c r="Q70" s="154"/>
      <c r="R70" s="154"/>
      <c r="S70" s="154"/>
      <c r="T70" s="154"/>
      <c r="U70" s="154"/>
      <c r="V70" s="154"/>
    </row>
    <row r="71" spans="1:22" ht="12">
      <c r="A71" s="175"/>
      <c r="B71" s="175"/>
      <c r="C71" s="175"/>
      <c r="D71" s="175"/>
      <c r="E71" s="175"/>
      <c r="F71" s="175"/>
      <c r="G71" s="175"/>
      <c r="H71" s="175"/>
      <c r="I71" s="175"/>
      <c r="J71" s="154"/>
      <c r="K71" s="154"/>
      <c r="L71" s="154"/>
      <c r="M71" s="154"/>
      <c r="N71" s="154"/>
      <c r="O71" s="154"/>
      <c r="P71" s="154"/>
      <c r="Q71" s="154"/>
      <c r="R71" s="154"/>
      <c r="S71" s="154"/>
      <c r="T71" s="154"/>
      <c r="U71" s="154"/>
      <c r="V71" s="154"/>
    </row>
    <row r="72" spans="1:22" ht="12">
      <c r="A72" s="175"/>
      <c r="B72" s="175"/>
      <c r="C72" s="175"/>
      <c r="D72" s="175"/>
      <c r="E72" s="175"/>
      <c r="F72" s="175"/>
      <c r="G72" s="175"/>
      <c r="H72" s="175"/>
      <c r="I72" s="175"/>
      <c r="J72" s="154"/>
      <c r="K72" s="154"/>
      <c r="L72" s="154"/>
      <c r="M72" s="154"/>
      <c r="N72" s="154"/>
      <c r="O72" s="154"/>
      <c r="P72" s="154"/>
      <c r="Q72" s="154"/>
      <c r="R72" s="154"/>
      <c r="S72" s="154"/>
      <c r="T72" s="154"/>
      <c r="U72" s="154"/>
      <c r="V72" s="154"/>
    </row>
    <row r="73" spans="1:22" ht="12">
      <c r="A73" s="175"/>
      <c r="B73" s="175"/>
      <c r="C73" s="175"/>
      <c r="D73" s="175"/>
      <c r="E73" s="175"/>
      <c r="F73" s="175"/>
      <c r="G73" s="175"/>
      <c r="H73" s="175"/>
      <c r="I73" s="175"/>
      <c r="J73" s="154"/>
      <c r="K73" s="154"/>
      <c r="L73" s="154"/>
      <c r="M73" s="154"/>
      <c r="N73" s="154"/>
      <c r="O73" s="154"/>
      <c r="P73" s="154"/>
      <c r="Q73" s="154"/>
      <c r="R73" s="154"/>
      <c r="S73" s="154"/>
      <c r="T73" s="154"/>
      <c r="U73" s="154"/>
      <c r="V73" s="154"/>
    </row>
    <row r="74" spans="1:22" ht="12">
      <c r="A74" s="175"/>
      <c r="B74" s="175"/>
      <c r="C74" s="175"/>
      <c r="D74" s="175"/>
      <c r="E74" s="175"/>
      <c r="F74" s="175"/>
      <c r="G74" s="175"/>
      <c r="H74" s="175"/>
      <c r="I74" s="175"/>
      <c r="J74" s="154"/>
      <c r="K74" s="154"/>
      <c r="L74" s="154"/>
      <c r="M74" s="154"/>
      <c r="N74" s="154"/>
      <c r="O74" s="154"/>
      <c r="P74" s="154"/>
      <c r="Q74" s="154"/>
      <c r="R74" s="154"/>
      <c r="S74" s="154"/>
      <c r="T74" s="154"/>
      <c r="U74" s="154"/>
      <c r="V74" s="154"/>
    </row>
    <row r="75" spans="1:22" ht="12">
      <c r="A75" s="175"/>
      <c r="B75" s="175"/>
      <c r="C75" s="175"/>
      <c r="D75" s="175"/>
      <c r="E75" s="175"/>
      <c r="F75" s="175"/>
      <c r="G75" s="175"/>
      <c r="H75" s="175"/>
      <c r="I75" s="175"/>
      <c r="J75" s="154"/>
      <c r="K75" s="154"/>
      <c r="L75" s="154"/>
      <c r="M75" s="154"/>
      <c r="N75" s="154"/>
      <c r="O75" s="154"/>
      <c r="P75" s="154"/>
      <c r="Q75" s="154"/>
      <c r="R75" s="154"/>
      <c r="S75" s="154"/>
      <c r="T75" s="154"/>
      <c r="U75" s="154"/>
      <c r="V75" s="154"/>
    </row>
    <row r="76" spans="1:22" ht="12">
      <c r="A76" s="175"/>
      <c r="B76" s="175"/>
      <c r="C76" s="175"/>
      <c r="D76" s="175"/>
      <c r="E76" s="175"/>
      <c r="F76" s="175"/>
      <c r="G76" s="175"/>
      <c r="H76" s="175"/>
      <c r="I76" s="175"/>
      <c r="J76" s="154"/>
      <c r="K76" s="154"/>
      <c r="L76" s="154"/>
      <c r="M76" s="154"/>
      <c r="N76" s="154"/>
      <c r="O76" s="154"/>
      <c r="P76" s="154"/>
      <c r="Q76" s="154"/>
      <c r="R76" s="154"/>
      <c r="S76" s="154"/>
      <c r="T76" s="154"/>
      <c r="U76" s="154"/>
      <c r="V76" s="154"/>
    </row>
    <row r="77" spans="10:22" ht="12">
      <c r="J77" s="154"/>
      <c r="K77" s="154"/>
      <c r="L77" s="154"/>
      <c r="M77" s="154"/>
      <c r="N77" s="154"/>
      <c r="O77" s="154"/>
      <c r="P77" s="154"/>
      <c r="Q77" s="154"/>
      <c r="R77" s="154"/>
      <c r="S77" s="154"/>
      <c r="T77" s="154"/>
      <c r="U77" s="154"/>
      <c r="V77" s="154"/>
    </row>
    <row r="78" spans="10:22" ht="12">
      <c r="J78" s="154"/>
      <c r="K78" s="154"/>
      <c r="L78" s="154"/>
      <c r="M78" s="154"/>
      <c r="N78" s="154"/>
      <c r="O78" s="154"/>
      <c r="P78" s="154"/>
      <c r="Q78" s="154"/>
      <c r="R78" s="154"/>
      <c r="S78" s="154"/>
      <c r="T78" s="154"/>
      <c r="U78" s="154"/>
      <c r="V78" s="154"/>
    </row>
    <row r="79" spans="10:22" ht="12">
      <c r="J79" s="154"/>
      <c r="K79" s="154"/>
      <c r="L79" s="154"/>
      <c r="M79" s="154"/>
      <c r="N79" s="154"/>
      <c r="O79" s="154"/>
      <c r="P79" s="154"/>
      <c r="Q79" s="154"/>
      <c r="R79" s="154"/>
      <c r="S79" s="154"/>
      <c r="T79" s="154"/>
      <c r="U79" s="154"/>
      <c r="V79" s="154"/>
    </row>
    <row r="80" spans="10:22" ht="12">
      <c r="J80" s="154"/>
      <c r="K80" s="154"/>
      <c r="L80" s="154"/>
      <c r="M80" s="154"/>
      <c r="N80" s="154"/>
      <c r="O80" s="154"/>
      <c r="P80" s="154"/>
      <c r="Q80" s="154"/>
      <c r="R80" s="154"/>
      <c r="S80" s="154"/>
      <c r="T80" s="154"/>
      <c r="U80" s="154"/>
      <c r="V80" s="154"/>
    </row>
    <row r="81" spans="10:22" ht="12">
      <c r="J81" s="154"/>
      <c r="K81" s="154"/>
      <c r="L81" s="154"/>
      <c r="M81" s="154"/>
      <c r="N81" s="154"/>
      <c r="O81" s="154"/>
      <c r="P81" s="154"/>
      <c r="Q81" s="154"/>
      <c r="R81" s="154"/>
      <c r="S81" s="154"/>
      <c r="T81" s="154"/>
      <c r="U81" s="154"/>
      <c r="V81" s="154"/>
    </row>
    <row r="82" spans="10:22" ht="12">
      <c r="J82" s="154"/>
      <c r="K82" s="154"/>
      <c r="L82" s="154"/>
      <c r="M82" s="154"/>
      <c r="N82" s="154"/>
      <c r="O82" s="154"/>
      <c r="P82" s="154"/>
      <c r="Q82" s="154"/>
      <c r="R82" s="154"/>
      <c r="S82" s="154"/>
      <c r="T82" s="154"/>
      <c r="U82" s="154"/>
      <c r="V82" s="154"/>
    </row>
    <row r="83" spans="10:22" ht="12">
      <c r="J83" s="154"/>
      <c r="K83" s="154"/>
      <c r="L83" s="154"/>
      <c r="M83" s="154"/>
      <c r="N83" s="154"/>
      <c r="O83" s="154"/>
      <c r="P83" s="154"/>
      <c r="Q83" s="154"/>
      <c r="R83" s="154"/>
      <c r="S83" s="154"/>
      <c r="T83" s="154"/>
      <c r="U83" s="154"/>
      <c r="V83" s="154"/>
    </row>
    <row r="84" spans="10:22" ht="12">
      <c r="J84" s="154"/>
      <c r="K84" s="154"/>
      <c r="L84" s="154"/>
      <c r="M84" s="154"/>
      <c r="N84" s="154"/>
      <c r="O84" s="154"/>
      <c r="P84" s="154"/>
      <c r="Q84" s="154"/>
      <c r="R84" s="154"/>
      <c r="S84" s="154"/>
      <c r="T84" s="154"/>
      <c r="U84" s="154"/>
      <c r="V84" s="154"/>
    </row>
    <row r="85" spans="10:22" ht="12">
      <c r="J85" s="154"/>
      <c r="K85" s="154"/>
      <c r="L85" s="154"/>
      <c r="M85" s="154"/>
      <c r="N85" s="154"/>
      <c r="O85" s="154"/>
      <c r="P85" s="154"/>
      <c r="Q85" s="154"/>
      <c r="R85" s="154"/>
      <c r="S85" s="154"/>
      <c r="T85" s="154"/>
      <c r="U85" s="154"/>
      <c r="V85" s="154"/>
    </row>
    <row r="86" spans="10:22" ht="12">
      <c r="J86" s="154"/>
      <c r="K86" s="154"/>
      <c r="L86" s="154"/>
      <c r="M86" s="154"/>
      <c r="N86" s="154"/>
      <c r="O86" s="154"/>
      <c r="P86" s="154"/>
      <c r="Q86" s="154"/>
      <c r="R86" s="154"/>
      <c r="S86" s="154"/>
      <c r="T86" s="154"/>
      <c r="U86" s="154"/>
      <c r="V86" s="154"/>
    </row>
    <row r="87" spans="10:22" ht="12">
      <c r="J87" s="154"/>
      <c r="K87" s="154"/>
      <c r="L87" s="154"/>
      <c r="M87" s="154"/>
      <c r="N87" s="154"/>
      <c r="O87" s="154"/>
      <c r="P87" s="154"/>
      <c r="Q87" s="154"/>
      <c r="R87" s="154"/>
      <c r="S87" s="154"/>
      <c r="T87" s="154"/>
      <c r="U87" s="154"/>
      <c r="V87" s="154"/>
    </row>
    <row r="88" spans="10:22" ht="12">
      <c r="J88" s="154"/>
      <c r="K88" s="154"/>
      <c r="L88" s="154"/>
      <c r="M88" s="154"/>
      <c r="N88" s="154"/>
      <c r="O88" s="154"/>
      <c r="P88" s="154"/>
      <c r="Q88" s="154"/>
      <c r="R88" s="154"/>
      <c r="S88" s="154"/>
      <c r="T88" s="154"/>
      <c r="U88" s="154"/>
      <c r="V88" s="154"/>
    </row>
    <row r="89" spans="10:22" ht="12">
      <c r="J89" s="154"/>
      <c r="K89" s="154"/>
      <c r="L89" s="154"/>
      <c r="M89" s="154"/>
      <c r="N89" s="154"/>
      <c r="O89" s="154"/>
      <c r="P89" s="154"/>
      <c r="Q89" s="154"/>
      <c r="R89" s="154"/>
      <c r="S89" s="154"/>
      <c r="T89" s="154"/>
      <c r="U89" s="154"/>
      <c r="V89" s="154"/>
    </row>
    <row r="90" spans="10:22" ht="12">
      <c r="J90" s="154"/>
      <c r="K90" s="154"/>
      <c r="L90" s="154"/>
      <c r="M90" s="154"/>
      <c r="N90" s="154"/>
      <c r="O90" s="154"/>
      <c r="P90" s="154"/>
      <c r="Q90" s="154"/>
      <c r="R90" s="154"/>
      <c r="S90" s="154"/>
      <c r="T90" s="154"/>
      <c r="U90" s="154"/>
      <c r="V90" s="154"/>
    </row>
    <row r="91" spans="10:22" ht="12">
      <c r="J91" s="154"/>
      <c r="K91" s="154"/>
      <c r="L91" s="154"/>
      <c r="M91" s="154"/>
      <c r="N91" s="154"/>
      <c r="O91" s="154"/>
      <c r="P91" s="154"/>
      <c r="Q91" s="154"/>
      <c r="R91" s="154"/>
      <c r="S91" s="154"/>
      <c r="T91" s="154"/>
      <c r="U91" s="154"/>
      <c r="V91" s="154"/>
    </row>
    <row r="92" spans="10:22" ht="12">
      <c r="J92" s="154"/>
      <c r="K92" s="154"/>
      <c r="L92" s="154"/>
      <c r="M92" s="154"/>
      <c r="N92" s="154"/>
      <c r="O92" s="154"/>
      <c r="P92" s="154"/>
      <c r="Q92" s="154"/>
      <c r="R92" s="154"/>
      <c r="S92" s="154"/>
      <c r="T92" s="154"/>
      <c r="U92" s="154"/>
      <c r="V92" s="154"/>
    </row>
    <row r="93" spans="10:22" ht="12">
      <c r="J93" s="154"/>
      <c r="K93" s="154"/>
      <c r="L93" s="154"/>
      <c r="M93" s="154"/>
      <c r="N93" s="154"/>
      <c r="O93" s="154"/>
      <c r="P93" s="154"/>
      <c r="Q93" s="154"/>
      <c r="R93" s="154"/>
      <c r="S93" s="154"/>
      <c r="T93" s="154"/>
      <c r="U93" s="154"/>
      <c r="V93" s="154"/>
    </row>
    <row r="94" spans="10:22" ht="12">
      <c r="J94" s="154"/>
      <c r="K94" s="154"/>
      <c r="L94" s="154"/>
      <c r="M94" s="154"/>
      <c r="N94" s="154"/>
      <c r="O94" s="154"/>
      <c r="P94" s="154"/>
      <c r="Q94" s="154"/>
      <c r="R94" s="154"/>
      <c r="S94" s="154"/>
      <c r="T94" s="154"/>
      <c r="U94" s="154"/>
      <c r="V94" s="154"/>
    </row>
    <row r="95" spans="10:22" ht="12">
      <c r="J95" s="154"/>
      <c r="K95" s="154"/>
      <c r="L95" s="154"/>
      <c r="M95" s="154"/>
      <c r="N95" s="154"/>
      <c r="O95" s="154"/>
      <c r="P95" s="154"/>
      <c r="Q95" s="154"/>
      <c r="R95" s="154"/>
      <c r="S95" s="154"/>
      <c r="T95" s="154"/>
      <c r="U95" s="154"/>
      <c r="V95" s="154"/>
    </row>
    <row r="96" spans="10:22" ht="12">
      <c r="J96" s="154"/>
      <c r="K96" s="154"/>
      <c r="L96" s="154"/>
      <c r="M96" s="154"/>
      <c r="N96" s="154"/>
      <c r="O96" s="154"/>
      <c r="P96" s="154"/>
      <c r="Q96" s="154"/>
      <c r="R96" s="154"/>
      <c r="S96" s="154"/>
      <c r="T96" s="154"/>
      <c r="U96" s="154"/>
      <c r="V96" s="154"/>
    </row>
    <row r="97" spans="10:22" ht="12">
      <c r="J97" s="154"/>
      <c r="K97" s="154"/>
      <c r="L97" s="154"/>
      <c r="M97" s="154"/>
      <c r="N97" s="154"/>
      <c r="O97" s="154"/>
      <c r="P97" s="154"/>
      <c r="Q97" s="154"/>
      <c r="R97" s="154"/>
      <c r="S97" s="154"/>
      <c r="T97" s="154"/>
      <c r="U97" s="154"/>
      <c r="V97" s="154"/>
    </row>
    <row r="98" spans="10:22" ht="12">
      <c r="J98" s="154"/>
      <c r="K98" s="154"/>
      <c r="L98" s="154"/>
      <c r="M98" s="154"/>
      <c r="N98" s="154"/>
      <c r="O98" s="154"/>
      <c r="P98" s="154"/>
      <c r="Q98" s="154"/>
      <c r="R98" s="154"/>
      <c r="S98" s="154"/>
      <c r="T98" s="154"/>
      <c r="U98" s="154"/>
      <c r="V98" s="154"/>
    </row>
    <row r="99" spans="10:22" ht="12">
      <c r="J99" s="154"/>
      <c r="K99" s="154"/>
      <c r="L99" s="154"/>
      <c r="M99" s="154"/>
      <c r="N99" s="154"/>
      <c r="O99" s="154"/>
      <c r="P99" s="154"/>
      <c r="Q99" s="154"/>
      <c r="R99" s="154"/>
      <c r="S99" s="154"/>
      <c r="T99" s="154"/>
      <c r="U99" s="154"/>
      <c r="V99" s="154"/>
    </row>
    <row r="100" spans="10:22" ht="12">
      <c r="J100" s="154"/>
      <c r="K100" s="154"/>
      <c r="L100" s="154"/>
      <c r="M100" s="154"/>
      <c r="N100" s="154"/>
      <c r="O100" s="154"/>
      <c r="P100" s="154"/>
      <c r="Q100" s="154"/>
      <c r="R100" s="154"/>
      <c r="S100" s="154"/>
      <c r="T100" s="154"/>
      <c r="U100" s="154"/>
      <c r="V100" s="154"/>
    </row>
    <row r="101" spans="10:22" ht="12">
      <c r="J101" s="154"/>
      <c r="K101" s="154"/>
      <c r="L101" s="154"/>
      <c r="M101" s="154"/>
      <c r="N101" s="154"/>
      <c r="O101" s="154"/>
      <c r="P101" s="154"/>
      <c r="Q101" s="154"/>
      <c r="R101" s="154"/>
      <c r="S101" s="154"/>
      <c r="T101" s="154"/>
      <c r="U101" s="154"/>
      <c r="V101" s="154"/>
    </row>
    <row r="102" spans="10:22" ht="12">
      <c r="J102" s="154"/>
      <c r="K102" s="154"/>
      <c r="L102" s="154"/>
      <c r="M102" s="154"/>
      <c r="N102" s="154"/>
      <c r="O102" s="154"/>
      <c r="P102" s="154"/>
      <c r="Q102" s="154"/>
      <c r="R102" s="154"/>
      <c r="S102" s="154"/>
      <c r="T102" s="154"/>
      <c r="U102" s="154"/>
      <c r="V102" s="154"/>
    </row>
    <row r="103" spans="10:22" ht="12">
      <c r="J103" s="154"/>
      <c r="K103" s="154"/>
      <c r="L103" s="154"/>
      <c r="M103" s="154"/>
      <c r="N103" s="154"/>
      <c r="O103" s="154"/>
      <c r="P103" s="154"/>
      <c r="Q103" s="154"/>
      <c r="R103" s="154"/>
      <c r="S103" s="154"/>
      <c r="T103" s="154"/>
      <c r="U103" s="154"/>
      <c r="V103" s="154"/>
    </row>
    <row r="104" spans="10:22" ht="12">
      <c r="J104" s="154"/>
      <c r="K104" s="154"/>
      <c r="L104" s="154"/>
      <c r="M104" s="154"/>
      <c r="N104" s="154"/>
      <c r="O104" s="154"/>
      <c r="P104" s="154"/>
      <c r="Q104" s="154"/>
      <c r="R104" s="154"/>
      <c r="S104" s="154"/>
      <c r="T104" s="154"/>
      <c r="U104" s="154"/>
      <c r="V104" s="154"/>
    </row>
    <row r="105" spans="10:22" ht="12">
      <c r="J105" s="154"/>
      <c r="K105" s="154"/>
      <c r="L105" s="154"/>
      <c r="M105" s="154"/>
      <c r="N105" s="154"/>
      <c r="O105" s="154"/>
      <c r="P105" s="154"/>
      <c r="Q105" s="154"/>
      <c r="R105" s="154"/>
      <c r="S105" s="154"/>
      <c r="T105" s="154"/>
      <c r="U105" s="154"/>
      <c r="V105" s="154"/>
    </row>
    <row r="106" spans="10:22" ht="12">
      <c r="J106" s="154"/>
      <c r="K106" s="154"/>
      <c r="L106" s="154"/>
      <c r="M106" s="154"/>
      <c r="N106" s="154"/>
      <c r="O106" s="154"/>
      <c r="P106" s="154"/>
      <c r="Q106" s="154"/>
      <c r="R106" s="154"/>
      <c r="S106" s="154"/>
      <c r="T106" s="154"/>
      <c r="U106" s="154"/>
      <c r="V106" s="154"/>
    </row>
    <row r="107" spans="10:22" ht="12">
      <c r="J107" s="154"/>
      <c r="K107" s="154"/>
      <c r="L107" s="154"/>
      <c r="M107" s="154"/>
      <c r="N107" s="154"/>
      <c r="O107" s="154"/>
      <c r="P107" s="154"/>
      <c r="Q107" s="154"/>
      <c r="R107" s="154"/>
      <c r="S107" s="154"/>
      <c r="T107" s="154"/>
      <c r="U107" s="154"/>
      <c r="V107" s="154"/>
    </row>
    <row r="108" spans="10:22" ht="12">
      <c r="J108" s="154"/>
      <c r="K108" s="154"/>
      <c r="L108" s="154"/>
      <c r="M108" s="154"/>
      <c r="N108" s="154"/>
      <c r="O108" s="154"/>
      <c r="P108" s="154"/>
      <c r="Q108" s="154"/>
      <c r="R108" s="154"/>
      <c r="S108" s="154"/>
      <c r="T108" s="154"/>
      <c r="U108" s="154"/>
      <c r="V108" s="154"/>
    </row>
    <row r="109" spans="10:22" ht="12">
      <c r="J109" s="154"/>
      <c r="K109" s="154"/>
      <c r="L109" s="154"/>
      <c r="M109" s="154"/>
      <c r="N109" s="154"/>
      <c r="O109" s="154"/>
      <c r="P109" s="154"/>
      <c r="Q109" s="154"/>
      <c r="R109" s="154"/>
      <c r="S109" s="154"/>
      <c r="T109" s="154"/>
      <c r="U109" s="154"/>
      <c r="V109" s="154"/>
    </row>
    <row r="110" spans="10:22" ht="12">
      <c r="J110" s="154"/>
      <c r="K110" s="154"/>
      <c r="L110" s="154"/>
      <c r="M110" s="154"/>
      <c r="N110" s="154"/>
      <c r="O110" s="154"/>
      <c r="P110" s="154"/>
      <c r="Q110" s="154"/>
      <c r="R110" s="154"/>
      <c r="S110" s="154"/>
      <c r="T110" s="154"/>
      <c r="U110" s="154"/>
      <c r="V110" s="154"/>
    </row>
    <row r="111" spans="10:22" ht="12">
      <c r="J111" s="154"/>
      <c r="K111" s="154"/>
      <c r="L111" s="154"/>
      <c r="M111" s="154"/>
      <c r="N111" s="154"/>
      <c r="O111" s="154"/>
      <c r="P111" s="154"/>
      <c r="Q111" s="154"/>
      <c r="R111" s="154"/>
      <c r="S111" s="154"/>
      <c r="T111" s="154"/>
      <c r="U111" s="154"/>
      <c r="V111" s="154"/>
    </row>
    <row r="112" spans="10:22" ht="12">
      <c r="J112" s="154"/>
      <c r="K112" s="154"/>
      <c r="L112" s="154"/>
      <c r="M112" s="154"/>
      <c r="N112" s="154"/>
      <c r="O112" s="154"/>
      <c r="P112" s="154"/>
      <c r="Q112" s="154"/>
      <c r="R112" s="154"/>
      <c r="S112" s="154"/>
      <c r="T112" s="154"/>
      <c r="U112" s="154"/>
      <c r="V112" s="154"/>
    </row>
    <row r="113" spans="10:22" ht="12">
      <c r="J113" s="154"/>
      <c r="K113" s="154"/>
      <c r="L113" s="154"/>
      <c r="M113" s="154"/>
      <c r="N113" s="154"/>
      <c r="O113" s="154"/>
      <c r="P113" s="154"/>
      <c r="Q113" s="154"/>
      <c r="R113" s="154"/>
      <c r="S113" s="154"/>
      <c r="T113" s="154"/>
      <c r="U113" s="154"/>
      <c r="V113" s="154"/>
    </row>
    <row r="114" spans="10:22" ht="12">
      <c r="J114" s="154"/>
      <c r="K114" s="154"/>
      <c r="L114" s="154"/>
      <c r="M114" s="154"/>
      <c r="N114" s="154"/>
      <c r="O114" s="154"/>
      <c r="P114" s="154"/>
      <c r="Q114" s="154"/>
      <c r="R114" s="154"/>
      <c r="S114" s="154"/>
      <c r="T114" s="154"/>
      <c r="U114" s="154"/>
      <c r="V114" s="154"/>
    </row>
    <row r="115" spans="10:22" ht="12">
      <c r="J115" s="154"/>
      <c r="K115" s="154"/>
      <c r="L115" s="154"/>
      <c r="M115" s="154"/>
      <c r="N115" s="154"/>
      <c r="O115" s="154"/>
      <c r="P115" s="154"/>
      <c r="Q115" s="154"/>
      <c r="R115" s="154"/>
      <c r="S115" s="154"/>
      <c r="T115" s="154"/>
      <c r="U115" s="154"/>
      <c r="V115" s="154"/>
    </row>
    <row r="116" spans="10:22" ht="12">
      <c r="J116" s="154"/>
      <c r="K116" s="154"/>
      <c r="L116" s="154"/>
      <c r="M116" s="154"/>
      <c r="N116" s="154"/>
      <c r="O116" s="154"/>
      <c r="P116" s="154"/>
      <c r="Q116" s="154"/>
      <c r="R116" s="154"/>
      <c r="S116" s="154"/>
      <c r="T116" s="154"/>
      <c r="U116" s="154"/>
      <c r="V116" s="154"/>
    </row>
    <row r="117" spans="10:22" ht="12">
      <c r="J117" s="154"/>
      <c r="K117" s="154"/>
      <c r="L117" s="154"/>
      <c r="M117" s="154"/>
      <c r="N117" s="154"/>
      <c r="O117" s="154"/>
      <c r="P117" s="154"/>
      <c r="Q117" s="154"/>
      <c r="R117" s="154"/>
      <c r="S117" s="154"/>
      <c r="T117" s="154"/>
      <c r="U117" s="154"/>
      <c r="V117" s="154"/>
    </row>
    <row r="118" spans="10:22" ht="12">
      <c r="J118" s="154"/>
      <c r="K118" s="154"/>
      <c r="L118" s="154"/>
      <c r="M118" s="154"/>
      <c r="N118" s="154"/>
      <c r="O118" s="154"/>
      <c r="P118" s="154"/>
      <c r="Q118" s="154"/>
      <c r="R118" s="154"/>
      <c r="S118" s="154"/>
      <c r="T118" s="154"/>
      <c r="U118" s="154"/>
      <c r="V118" s="154"/>
    </row>
    <row r="119" spans="10:22" ht="12">
      <c r="J119" s="154"/>
      <c r="K119" s="154"/>
      <c r="L119" s="154"/>
      <c r="M119" s="154"/>
      <c r="N119" s="154"/>
      <c r="O119" s="154"/>
      <c r="P119" s="154"/>
      <c r="Q119" s="154"/>
      <c r="R119" s="154"/>
      <c r="S119" s="154"/>
      <c r="T119" s="154"/>
      <c r="U119" s="154"/>
      <c r="V119" s="154"/>
    </row>
    <row r="120" spans="10:22" ht="12">
      <c r="J120" s="154"/>
      <c r="K120" s="154"/>
      <c r="L120" s="154"/>
      <c r="M120" s="154"/>
      <c r="N120" s="154"/>
      <c r="O120" s="154"/>
      <c r="P120" s="154"/>
      <c r="Q120" s="154"/>
      <c r="R120" s="154"/>
      <c r="S120" s="154"/>
      <c r="T120" s="154"/>
      <c r="U120" s="154"/>
      <c r="V120" s="154"/>
    </row>
    <row r="121" spans="10:22" ht="12">
      <c r="J121" s="154"/>
      <c r="K121" s="154"/>
      <c r="L121" s="154"/>
      <c r="M121" s="154"/>
      <c r="N121" s="154"/>
      <c r="O121" s="154"/>
      <c r="P121" s="154"/>
      <c r="Q121" s="154"/>
      <c r="R121" s="154"/>
      <c r="S121" s="154"/>
      <c r="T121" s="154"/>
      <c r="U121" s="154"/>
      <c r="V121" s="154"/>
    </row>
    <row r="122" spans="10:22" ht="12">
      <c r="J122" s="154"/>
      <c r="K122" s="154"/>
      <c r="L122" s="154"/>
      <c r="M122" s="154"/>
      <c r="N122" s="154"/>
      <c r="O122" s="154"/>
      <c r="P122" s="154"/>
      <c r="Q122" s="154"/>
      <c r="R122" s="154"/>
      <c r="S122" s="154"/>
      <c r="T122" s="154"/>
      <c r="U122" s="154"/>
      <c r="V122" s="154"/>
    </row>
    <row r="123" spans="10:22" ht="12">
      <c r="J123" s="154"/>
      <c r="K123" s="154"/>
      <c r="L123" s="154"/>
      <c r="M123" s="154"/>
      <c r="N123" s="154"/>
      <c r="O123" s="154"/>
      <c r="P123" s="154"/>
      <c r="Q123" s="154"/>
      <c r="R123" s="154"/>
      <c r="S123" s="154"/>
      <c r="T123" s="154"/>
      <c r="U123" s="154"/>
      <c r="V123" s="154"/>
    </row>
    <row r="124" spans="10:22" ht="12">
      <c r="J124" s="154"/>
      <c r="K124" s="154"/>
      <c r="L124" s="154"/>
      <c r="M124" s="154"/>
      <c r="N124" s="154"/>
      <c r="O124" s="154"/>
      <c r="P124" s="154"/>
      <c r="Q124" s="154"/>
      <c r="R124" s="154"/>
      <c r="S124" s="154"/>
      <c r="T124" s="154"/>
      <c r="U124" s="154"/>
      <c r="V124" s="154"/>
    </row>
    <row r="125" spans="10:22" ht="12">
      <c r="J125" s="154"/>
      <c r="K125" s="154"/>
      <c r="L125" s="154"/>
      <c r="M125" s="154"/>
      <c r="N125" s="154"/>
      <c r="O125" s="154"/>
      <c r="P125" s="154"/>
      <c r="Q125" s="154"/>
      <c r="R125" s="154"/>
      <c r="S125" s="154"/>
      <c r="T125" s="154"/>
      <c r="U125" s="154"/>
      <c r="V125" s="154"/>
    </row>
    <row r="126" spans="10:22" ht="12">
      <c r="J126" s="154"/>
      <c r="K126" s="154"/>
      <c r="L126" s="154"/>
      <c r="M126" s="154"/>
      <c r="N126" s="154"/>
      <c r="O126" s="154"/>
      <c r="P126" s="154"/>
      <c r="Q126" s="154"/>
      <c r="R126" s="154"/>
      <c r="S126" s="154"/>
      <c r="T126" s="154"/>
      <c r="U126" s="154"/>
      <c r="V126" s="154"/>
    </row>
    <row r="127" spans="10:22" ht="12">
      <c r="J127" s="154"/>
      <c r="K127" s="154"/>
      <c r="L127" s="154"/>
      <c r="M127" s="154"/>
      <c r="N127" s="154"/>
      <c r="O127" s="154"/>
      <c r="P127" s="154"/>
      <c r="Q127" s="154"/>
      <c r="R127" s="154"/>
      <c r="S127" s="154"/>
      <c r="T127" s="154"/>
      <c r="U127" s="154"/>
      <c r="V127" s="154"/>
    </row>
    <row r="128" spans="10:22" ht="12">
      <c r="J128" s="154"/>
      <c r="K128" s="154"/>
      <c r="L128" s="154"/>
      <c r="M128" s="154"/>
      <c r="N128" s="154"/>
      <c r="O128" s="154"/>
      <c r="P128" s="154"/>
      <c r="Q128" s="154"/>
      <c r="R128" s="154"/>
      <c r="S128" s="154"/>
      <c r="T128" s="154"/>
      <c r="U128" s="154"/>
      <c r="V128" s="154"/>
    </row>
    <row r="129" spans="10:22" ht="12">
      <c r="J129" s="154"/>
      <c r="K129" s="154"/>
      <c r="L129" s="154"/>
      <c r="M129" s="154"/>
      <c r="N129" s="154"/>
      <c r="O129" s="154"/>
      <c r="P129" s="154"/>
      <c r="Q129" s="154"/>
      <c r="R129" s="154"/>
      <c r="S129" s="154"/>
      <c r="T129" s="154"/>
      <c r="U129" s="154"/>
      <c r="V129" s="154"/>
    </row>
    <row r="130" spans="10:22" ht="12">
      <c r="J130" s="154"/>
      <c r="K130" s="154"/>
      <c r="L130" s="154"/>
      <c r="M130" s="154"/>
      <c r="N130" s="154"/>
      <c r="O130" s="154"/>
      <c r="P130" s="154"/>
      <c r="Q130" s="154"/>
      <c r="R130" s="154"/>
      <c r="S130" s="154"/>
      <c r="T130" s="154"/>
      <c r="U130" s="154"/>
      <c r="V130" s="154"/>
    </row>
    <row r="131" spans="10:22" ht="12">
      <c r="J131" s="154"/>
      <c r="K131" s="154"/>
      <c r="L131" s="154"/>
      <c r="M131" s="154"/>
      <c r="N131" s="154"/>
      <c r="O131" s="154"/>
      <c r="P131" s="154"/>
      <c r="Q131" s="154"/>
      <c r="R131" s="154"/>
      <c r="S131" s="154"/>
      <c r="T131" s="154"/>
      <c r="U131" s="154"/>
      <c r="V131" s="154"/>
    </row>
    <row r="132" spans="10:22" ht="12">
      <c r="J132" s="154"/>
      <c r="K132" s="154"/>
      <c r="L132" s="154"/>
      <c r="M132" s="154"/>
      <c r="N132" s="154"/>
      <c r="O132" s="154"/>
      <c r="P132" s="154"/>
      <c r="Q132" s="154"/>
      <c r="R132" s="154"/>
      <c r="S132" s="154"/>
      <c r="T132" s="154"/>
      <c r="U132" s="154"/>
      <c r="V132" s="154"/>
    </row>
    <row r="133" spans="10:22" ht="12">
      <c r="J133" s="154"/>
      <c r="K133" s="154"/>
      <c r="L133" s="154"/>
      <c r="M133" s="154"/>
      <c r="N133" s="154"/>
      <c r="O133" s="154"/>
      <c r="P133" s="154"/>
      <c r="Q133" s="154"/>
      <c r="R133" s="154"/>
      <c r="S133" s="154"/>
      <c r="T133" s="154"/>
      <c r="U133" s="154"/>
      <c r="V133" s="154"/>
    </row>
    <row r="134" spans="10:22" ht="12">
      <c r="J134" s="154"/>
      <c r="K134" s="154"/>
      <c r="L134" s="154"/>
      <c r="M134" s="154"/>
      <c r="N134" s="154"/>
      <c r="O134" s="154"/>
      <c r="P134" s="154"/>
      <c r="Q134" s="154"/>
      <c r="R134" s="154"/>
      <c r="S134" s="154"/>
      <c r="T134" s="154"/>
      <c r="U134" s="154"/>
      <c r="V134" s="154"/>
    </row>
    <row r="135" spans="10:22" ht="12">
      <c r="J135" s="154"/>
      <c r="K135" s="154"/>
      <c r="L135" s="154"/>
      <c r="M135" s="154"/>
      <c r="N135" s="154"/>
      <c r="O135" s="154"/>
      <c r="P135" s="154"/>
      <c r="Q135" s="154"/>
      <c r="R135" s="154"/>
      <c r="S135" s="154"/>
      <c r="T135" s="154"/>
      <c r="U135" s="154"/>
      <c r="V135" s="154"/>
    </row>
    <row r="136" spans="10:22" ht="12">
      <c r="J136" s="154"/>
      <c r="K136" s="154"/>
      <c r="L136" s="154"/>
      <c r="M136" s="154"/>
      <c r="N136" s="154"/>
      <c r="O136" s="154"/>
      <c r="P136" s="154"/>
      <c r="Q136" s="154"/>
      <c r="R136" s="154"/>
      <c r="S136" s="154"/>
      <c r="T136" s="154"/>
      <c r="U136" s="154"/>
      <c r="V136" s="154"/>
    </row>
    <row r="137" spans="10:22" ht="12">
      <c r="J137" s="154"/>
      <c r="K137" s="154"/>
      <c r="L137" s="154"/>
      <c r="M137" s="154"/>
      <c r="N137" s="154"/>
      <c r="O137" s="154"/>
      <c r="P137" s="154"/>
      <c r="Q137" s="154"/>
      <c r="R137" s="154"/>
      <c r="S137" s="154"/>
      <c r="T137" s="154"/>
      <c r="U137" s="154"/>
      <c r="V137" s="154"/>
    </row>
    <row r="138" spans="10:22" ht="12">
      <c r="J138" s="154"/>
      <c r="K138" s="154"/>
      <c r="L138" s="154"/>
      <c r="M138" s="154"/>
      <c r="N138" s="154"/>
      <c r="O138" s="154"/>
      <c r="P138" s="154"/>
      <c r="Q138" s="154"/>
      <c r="R138" s="154"/>
      <c r="S138" s="154"/>
      <c r="T138" s="154"/>
      <c r="U138" s="154"/>
      <c r="V138" s="154"/>
    </row>
    <row r="139" spans="10:22" ht="12">
      <c r="J139" s="154"/>
      <c r="K139" s="154"/>
      <c r="L139" s="154"/>
      <c r="M139" s="154"/>
      <c r="N139" s="154"/>
      <c r="O139" s="154"/>
      <c r="P139" s="154"/>
      <c r="Q139" s="154"/>
      <c r="R139" s="154"/>
      <c r="S139" s="154"/>
      <c r="T139" s="154"/>
      <c r="U139" s="154"/>
      <c r="V139" s="154"/>
    </row>
    <row r="140" spans="10:22" ht="12">
      <c r="J140" s="154"/>
      <c r="K140" s="154"/>
      <c r="L140" s="154"/>
      <c r="M140" s="154"/>
      <c r="N140" s="154"/>
      <c r="O140" s="154"/>
      <c r="P140" s="154"/>
      <c r="Q140" s="154"/>
      <c r="R140" s="154"/>
      <c r="S140" s="154"/>
      <c r="T140" s="154"/>
      <c r="U140" s="154"/>
      <c r="V140" s="154"/>
    </row>
    <row r="141" spans="10:22" ht="12">
      <c r="J141" s="154"/>
      <c r="K141" s="154"/>
      <c r="L141" s="154"/>
      <c r="M141" s="154"/>
      <c r="N141" s="154"/>
      <c r="O141" s="154"/>
      <c r="P141" s="154"/>
      <c r="Q141" s="154"/>
      <c r="R141" s="154"/>
      <c r="S141" s="154"/>
      <c r="T141" s="154"/>
      <c r="U141" s="154"/>
      <c r="V141" s="154"/>
    </row>
    <row r="142" spans="10:22" ht="12">
      <c r="J142" s="154"/>
      <c r="K142" s="154"/>
      <c r="L142" s="154"/>
      <c r="M142" s="154"/>
      <c r="N142" s="154"/>
      <c r="O142" s="154"/>
      <c r="P142" s="154"/>
      <c r="Q142" s="154"/>
      <c r="R142" s="154"/>
      <c r="S142" s="154"/>
      <c r="T142" s="154"/>
      <c r="U142" s="154"/>
      <c r="V142" s="154"/>
    </row>
    <row r="143" spans="10:22" ht="12">
      <c r="J143" s="154"/>
      <c r="K143" s="154"/>
      <c r="L143" s="154"/>
      <c r="M143" s="154"/>
      <c r="N143" s="154"/>
      <c r="O143" s="154"/>
      <c r="P143" s="154"/>
      <c r="Q143" s="154"/>
      <c r="R143" s="154"/>
      <c r="S143" s="154"/>
      <c r="T143" s="154"/>
      <c r="U143" s="154"/>
      <c r="V143" s="154"/>
    </row>
    <row r="144" spans="10:22" ht="12">
      <c r="J144" s="154"/>
      <c r="K144" s="154"/>
      <c r="L144" s="154"/>
      <c r="M144" s="154"/>
      <c r="N144" s="154"/>
      <c r="O144" s="154"/>
      <c r="P144" s="154"/>
      <c r="Q144" s="154"/>
      <c r="R144" s="154"/>
      <c r="S144" s="154"/>
      <c r="T144" s="154"/>
      <c r="U144" s="154"/>
      <c r="V144" s="154"/>
    </row>
    <row r="145" spans="10:22" ht="12">
      <c r="J145" s="154"/>
      <c r="K145" s="154"/>
      <c r="L145" s="154"/>
      <c r="M145" s="154"/>
      <c r="N145" s="154"/>
      <c r="O145" s="154"/>
      <c r="P145" s="154"/>
      <c r="Q145" s="154"/>
      <c r="R145" s="154"/>
      <c r="S145" s="154"/>
      <c r="T145" s="154"/>
      <c r="U145" s="154"/>
      <c r="V145" s="154"/>
    </row>
    <row r="146" spans="10:22" ht="12">
      <c r="J146" s="154"/>
      <c r="K146" s="154"/>
      <c r="L146" s="154"/>
      <c r="M146" s="154"/>
      <c r="N146" s="154"/>
      <c r="O146" s="154"/>
      <c r="P146" s="154"/>
      <c r="Q146" s="154"/>
      <c r="R146" s="154"/>
      <c r="S146" s="154"/>
      <c r="T146" s="154"/>
      <c r="U146" s="154"/>
      <c r="V146" s="154"/>
    </row>
    <row r="147" spans="10:22" ht="12">
      <c r="J147" s="154"/>
      <c r="K147" s="154"/>
      <c r="L147" s="154"/>
      <c r="M147" s="154"/>
      <c r="N147" s="154"/>
      <c r="O147" s="154"/>
      <c r="P147" s="154"/>
      <c r="Q147" s="154"/>
      <c r="R147" s="154"/>
      <c r="S147" s="154"/>
      <c r="T147" s="154"/>
      <c r="U147" s="154"/>
      <c r="V147" s="154"/>
    </row>
    <row r="148" spans="10:22" ht="12">
      <c r="J148" s="154"/>
      <c r="K148" s="154"/>
      <c r="L148" s="154"/>
      <c r="M148" s="154"/>
      <c r="N148" s="154"/>
      <c r="O148" s="154"/>
      <c r="P148" s="154"/>
      <c r="Q148" s="154"/>
      <c r="R148" s="154"/>
      <c r="S148" s="154"/>
      <c r="T148" s="154"/>
      <c r="U148" s="154"/>
      <c r="V148" s="154"/>
    </row>
    <row r="149" spans="10:22" ht="12">
      <c r="J149" s="154"/>
      <c r="K149" s="154"/>
      <c r="L149" s="154"/>
      <c r="M149" s="154"/>
      <c r="N149" s="154"/>
      <c r="O149" s="154"/>
      <c r="P149" s="154"/>
      <c r="Q149" s="154"/>
      <c r="R149" s="154"/>
      <c r="S149" s="154"/>
      <c r="T149" s="154"/>
      <c r="U149" s="154"/>
      <c r="V149" s="154"/>
    </row>
    <row r="150" spans="10:22" ht="12">
      <c r="J150" s="154"/>
      <c r="K150" s="154"/>
      <c r="L150" s="154"/>
      <c r="M150" s="154"/>
      <c r="N150" s="154"/>
      <c r="O150" s="154"/>
      <c r="P150" s="154"/>
      <c r="Q150" s="154"/>
      <c r="R150" s="154"/>
      <c r="S150" s="154"/>
      <c r="T150" s="154"/>
      <c r="U150" s="154"/>
      <c r="V150" s="154"/>
    </row>
    <row r="151" spans="10:22" ht="12">
      <c r="J151" s="154"/>
      <c r="K151" s="154"/>
      <c r="L151" s="154"/>
      <c r="M151" s="154"/>
      <c r="N151" s="154"/>
      <c r="O151" s="154"/>
      <c r="P151" s="154"/>
      <c r="Q151" s="154"/>
      <c r="R151" s="154"/>
      <c r="S151" s="154"/>
      <c r="T151" s="154"/>
      <c r="U151" s="154"/>
      <c r="V151" s="154"/>
    </row>
    <row r="152" spans="10:22" ht="12">
      <c r="J152" s="154"/>
      <c r="K152" s="154"/>
      <c r="L152" s="154"/>
      <c r="M152" s="154"/>
      <c r="N152" s="154"/>
      <c r="O152" s="154"/>
      <c r="P152" s="154"/>
      <c r="Q152" s="154"/>
      <c r="R152" s="154"/>
      <c r="S152" s="154"/>
      <c r="T152" s="154"/>
      <c r="U152" s="154"/>
      <c r="V152" s="154"/>
    </row>
    <row r="153" spans="10:22" ht="12">
      <c r="J153" s="154"/>
      <c r="K153" s="154"/>
      <c r="L153" s="154"/>
      <c r="M153" s="154"/>
      <c r="N153" s="154"/>
      <c r="O153" s="154"/>
      <c r="P153" s="154"/>
      <c r="Q153" s="154"/>
      <c r="R153" s="154"/>
      <c r="S153" s="154"/>
      <c r="T153" s="154"/>
      <c r="U153" s="154"/>
      <c r="V153" s="154"/>
    </row>
    <row r="154" spans="10:22" ht="12">
      <c r="J154" s="154"/>
      <c r="K154" s="154"/>
      <c r="L154" s="154"/>
      <c r="M154" s="154"/>
      <c r="N154" s="154"/>
      <c r="O154" s="154"/>
      <c r="P154" s="154"/>
      <c r="Q154" s="154"/>
      <c r="R154" s="154"/>
      <c r="S154" s="154"/>
      <c r="T154" s="154"/>
      <c r="U154" s="154"/>
      <c r="V154" s="154"/>
    </row>
    <row r="155" spans="10:22" ht="12">
      <c r="J155" s="154"/>
      <c r="K155" s="154"/>
      <c r="L155" s="154"/>
      <c r="M155" s="154"/>
      <c r="N155" s="154"/>
      <c r="O155" s="154"/>
      <c r="P155" s="154"/>
      <c r="Q155" s="154"/>
      <c r="R155" s="154"/>
      <c r="S155" s="154"/>
      <c r="T155" s="154"/>
      <c r="U155" s="154"/>
      <c r="V155" s="154"/>
    </row>
    <row r="156" spans="10:22" ht="12">
      <c r="J156" s="154"/>
      <c r="K156" s="154"/>
      <c r="L156" s="154"/>
      <c r="M156" s="154"/>
      <c r="N156" s="154"/>
      <c r="O156" s="154"/>
      <c r="P156" s="154"/>
      <c r="Q156" s="154"/>
      <c r="R156" s="154"/>
      <c r="S156" s="154"/>
      <c r="T156" s="154"/>
      <c r="U156" s="154"/>
      <c r="V156" s="154"/>
    </row>
    <row r="157" spans="10:22" ht="12">
      <c r="J157" s="154"/>
      <c r="K157" s="154"/>
      <c r="L157" s="154"/>
      <c r="M157" s="154"/>
      <c r="N157" s="154"/>
      <c r="O157" s="154"/>
      <c r="P157" s="154"/>
      <c r="Q157" s="154"/>
      <c r="R157" s="154"/>
      <c r="S157" s="154"/>
      <c r="T157" s="154"/>
      <c r="U157" s="154"/>
      <c r="V157" s="154"/>
    </row>
    <row r="158" spans="10:22" ht="12">
      <c r="J158" s="154"/>
      <c r="K158" s="154"/>
      <c r="L158" s="154"/>
      <c r="M158" s="154"/>
      <c r="N158" s="154"/>
      <c r="O158" s="154"/>
      <c r="P158" s="154"/>
      <c r="Q158" s="154"/>
      <c r="R158" s="154"/>
      <c r="S158" s="154"/>
      <c r="T158" s="154"/>
      <c r="U158" s="154"/>
      <c r="V158" s="154"/>
    </row>
    <row r="159" spans="10:22" ht="12">
      <c r="J159" s="154"/>
      <c r="K159" s="154"/>
      <c r="L159" s="154"/>
      <c r="M159" s="154"/>
      <c r="N159" s="154"/>
      <c r="O159" s="154"/>
      <c r="P159" s="154"/>
      <c r="Q159" s="154"/>
      <c r="R159" s="154"/>
      <c r="S159" s="154"/>
      <c r="T159" s="154"/>
      <c r="U159" s="154"/>
      <c r="V159" s="154"/>
    </row>
    <row r="160" spans="10:22" ht="12">
      <c r="J160" s="154"/>
      <c r="K160" s="154"/>
      <c r="L160" s="154"/>
      <c r="M160" s="154"/>
      <c r="N160" s="154"/>
      <c r="O160" s="154"/>
      <c r="P160" s="154"/>
      <c r="Q160" s="154"/>
      <c r="R160" s="154"/>
      <c r="S160" s="154"/>
      <c r="T160" s="154"/>
      <c r="U160" s="154"/>
      <c r="V160" s="154"/>
    </row>
    <row r="161" spans="10:22" ht="12">
      <c r="J161" s="154"/>
      <c r="K161" s="154"/>
      <c r="L161" s="154"/>
      <c r="M161" s="154"/>
      <c r="N161" s="154"/>
      <c r="O161" s="154"/>
      <c r="P161" s="154"/>
      <c r="Q161" s="154"/>
      <c r="R161" s="154"/>
      <c r="S161" s="154"/>
      <c r="T161" s="154"/>
      <c r="U161" s="154"/>
      <c r="V161" s="154"/>
    </row>
    <row r="162" spans="10:22" ht="12">
      <c r="J162" s="154"/>
      <c r="K162" s="154"/>
      <c r="L162" s="154"/>
      <c r="M162" s="154"/>
      <c r="N162" s="154"/>
      <c r="O162" s="154"/>
      <c r="P162" s="154"/>
      <c r="Q162" s="154"/>
      <c r="R162" s="154"/>
      <c r="S162" s="154"/>
      <c r="T162" s="154"/>
      <c r="U162" s="154"/>
      <c r="V162" s="154"/>
    </row>
    <row r="163" spans="10:22" ht="12">
      <c r="J163" s="154"/>
      <c r="K163" s="154"/>
      <c r="L163" s="154"/>
      <c r="M163" s="154"/>
      <c r="N163" s="154"/>
      <c r="O163" s="154"/>
      <c r="P163" s="154"/>
      <c r="Q163" s="154"/>
      <c r="R163" s="154"/>
      <c r="S163" s="154"/>
      <c r="T163" s="154"/>
      <c r="U163" s="154"/>
      <c r="V163" s="154"/>
    </row>
    <row r="164" spans="10:22" ht="12">
      <c r="J164" s="154"/>
      <c r="K164" s="154"/>
      <c r="L164" s="154"/>
      <c r="M164" s="154"/>
      <c r="N164" s="154"/>
      <c r="O164" s="154"/>
      <c r="P164" s="154"/>
      <c r="Q164" s="154"/>
      <c r="R164" s="154"/>
      <c r="S164" s="154"/>
      <c r="T164" s="154"/>
      <c r="U164" s="154"/>
      <c r="V164" s="154"/>
    </row>
    <row r="165" spans="10:22" ht="12">
      <c r="J165" s="154"/>
      <c r="K165" s="154"/>
      <c r="L165" s="154"/>
      <c r="M165" s="154"/>
      <c r="N165" s="154"/>
      <c r="O165" s="154"/>
      <c r="P165" s="154"/>
      <c r="Q165" s="154"/>
      <c r="R165" s="154"/>
      <c r="S165" s="154"/>
      <c r="T165" s="154"/>
      <c r="U165" s="154"/>
      <c r="V165" s="154"/>
    </row>
    <row r="166" spans="10:22" ht="12">
      <c r="J166" s="154"/>
      <c r="K166" s="154"/>
      <c r="L166" s="154"/>
      <c r="M166" s="154"/>
      <c r="N166" s="154"/>
      <c r="O166" s="154"/>
      <c r="P166" s="154"/>
      <c r="Q166" s="154"/>
      <c r="R166" s="154"/>
      <c r="S166" s="154"/>
      <c r="T166" s="154"/>
      <c r="U166" s="154"/>
      <c r="V166" s="154"/>
    </row>
    <row r="167" spans="10:22" ht="12">
      <c r="J167" s="154"/>
      <c r="K167" s="154"/>
      <c r="L167" s="154"/>
      <c r="M167" s="154"/>
      <c r="N167" s="154"/>
      <c r="O167" s="154"/>
      <c r="P167" s="154"/>
      <c r="Q167" s="154"/>
      <c r="R167" s="154"/>
      <c r="S167" s="154"/>
      <c r="T167" s="154"/>
      <c r="U167" s="154"/>
      <c r="V167" s="154"/>
    </row>
    <row r="168" spans="10:22" ht="12">
      <c r="J168" s="154"/>
      <c r="K168" s="154"/>
      <c r="L168" s="154"/>
      <c r="M168" s="154"/>
      <c r="N168" s="154"/>
      <c r="O168" s="154"/>
      <c r="P168" s="154"/>
      <c r="Q168" s="154"/>
      <c r="R168" s="154"/>
      <c r="S168" s="154"/>
      <c r="T168" s="154"/>
      <c r="U168" s="154"/>
      <c r="V168" s="154"/>
    </row>
    <row r="169" spans="10:22" ht="12">
      <c r="J169" s="154"/>
      <c r="K169" s="154"/>
      <c r="L169" s="154"/>
      <c r="M169" s="154"/>
      <c r="N169" s="154"/>
      <c r="O169" s="154"/>
      <c r="P169" s="154"/>
      <c r="Q169" s="154"/>
      <c r="R169" s="154"/>
      <c r="S169" s="154"/>
      <c r="T169" s="154"/>
      <c r="U169" s="154"/>
      <c r="V169" s="154"/>
    </row>
    <row r="170" spans="10:22" ht="12">
      <c r="J170" s="154"/>
      <c r="K170" s="154"/>
      <c r="L170" s="154"/>
      <c r="M170" s="154"/>
      <c r="N170" s="154"/>
      <c r="O170" s="154"/>
      <c r="P170" s="154"/>
      <c r="Q170" s="154"/>
      <c r="R170" s="154"/>
      <c r="S170" s="154"/>
      <c r="T170" s="154"/>
      <c r="U170" s="154"/>
      <c r="V170" s="154"/>
    </row>
    <row r="171" spans="10:22" ht="12">
      <c r="J171" s="154"/>
      <c r="K171" s="154"/>
      <c r="L171" s="154"/>
      <c r="M171" s="154"/>
      <c r="N171" s="154"/>
      <c r="O171" s="154"/>
      <c r="P171" s="154"/>
      <c r="Q171" s="154"/>
      <c r="R171" s="154"/>
      <c r="S171" s="154"/>
      <c r="T171" s="154"/>
      <c r="U171" s="154"/>
      <c r="V171" s="154"/>
    </row>
    <row r="172" spans="10:22" ht="12">
      <c r="J172" s="154"/>
      <c r="K172" s="154"/>
      <c r="L172" s="154"/>
      <c r="M172" s="154"/>
      <c r="N172" s="154"/>
      <c r="O172" s="154"/>
      <c r="P172" s="154"/>
      <c r="Q172" s="154"/>
      <c r="R172" s="154"/>
      <c r="S172" s="154"/>
      <c r="T172" s="154"/>
      <c r="U172" s="154"/>
      <c r="V172" s="154"/>
    </row>
    <row r="173" spans="10:22" ht="12">
      <c r="J173" s="154"/>
      <c r="K173" s="154"/>
      <c r="L173" s="154"/>
      <c r="M173" s="154"/>
      <c r="N173" s="154"/>
      <c r="O173" s="154"/>
      <c r="P173" s="154"/>
      <c r="Q173" s="154"/>
      <c r="R173" s="154"/>
      <c r="S173" s="154"/>
      <c r="T173" s="154"/>
      <c r="U173" s="154"/>
      <c r="V173" s="154"/>
    </row>
    <row r="174" spans="10:22" ht="12">
      <c r="J174" s="154"/>
      <c r="K174" s="154"/>
      <c r="L174" s="154"/>
      <c r="M174" s="154"/>
      <c r="N174" s="154"/>
      <c r="O174" s="154"/>
      <c r="P174" s="154"/>
      <c r="Q174" s="154"/>
      <c r="R174" s="154"/>
      <c r="S174" s="154"/>
      <c r="T174" s="154"/>
      <c r="U174" s="154"/>
      <c r="V174" s="154"/>
    </row>
    <row r="175" spans="10:22" ht="12">
      <c r="J175" s="154"/>
      <c r="K175" s="154"/>
      <c r="L175" s="154"/>
      <c r="M175" s="154"/>
      <c r="N175" s="154"/>
      <c r="O175" s="154"/>
      <c r="P175" s="154"/>
      <c r="Q175" s="154"/>
      <c r="R175" s="154"/>
      <c r="S175" s="154"/>
      <c r="T175" s="154"/>
      <c r="U175" s="154"/>
      <c r="V175" s="154"/>
    </row>
    <row r="176" spans="10:22" ht="12">
      <c r="J176" s="154"/>
      <c r="K176" s="154"/>
      <c r="L176" s="154"/>
      <c r="M176" s="154"/>
      <c r="N176" s="154"/>
      <c r="O176" s="154"/>
      <c r="P176" s="154"/>
      <c r="Q176" s="154"/>
      <c r="R176" s="154"/>
      <c r="S176" s="154"/>
      <c r="T176" s="154"/>
      <c r="U176" s="154"/>
      <c r="V176" s="154"/>
    </row>
    <row r="177" spans="10:22" ht="12">
      <c r="J177" s="154"/>
      <c r="K177" s="154"/>
      <c r="L177" s="154"/>
      <c r="M177" s="154"/>
      <c r="N177" s="154"/>
      <c r="O177" s="154"/>
      <c r="P177" s="154"/>
      <c r="Q177" s="154"/>
      <c r="R177" s="154"/>
      <c r="S177" s="154"/>
      <c r="T177" s="154"/>
      <c r="U177" s="154"/>
      <c r="V177" s="154"/>
    </row>
    <row r="178" spans="10:22" ht="12">
      <c r="J178" s="154"/>
      <c r="K178" s="154"/>
      <c r="L178" s="154"/>
      <c r="M178" s="154"/>
      <c r="N178" s="154"/>
      <c r="O178" s="154"/>
      <c r="P178" s="154"/>
      <c r="Q178" s="154"/>
      <c r="R178" s="154"/>
      <c r="S178" s="154"/>
      <c r="T178" s="154"/>
      <c r="U178" s="154"/>
      <c r="V178" s="154"/>
    </row>
    <row r="179" spans="10:22" ht="12">
      <c r="J179" s="154"/>
      <c r="K179" s="154"/>
      <c r="L179" s="154"/>
      <c r="M179" s="154"/>
      <c r="N179" s="154"/>
      <c r="O179" s="154"/>
      <c r="P179" s="154"/>
      <c r="Q179" s="154"/>
      <c r="R179" s="154"/>
      <c r="S179" s="154"/>
      <c r="T179" s="154"/>
      <c r="U179" s="154"/>
      <c r="V179" s="154"/>
    </row>
    <row r="180" spans="10:22" ht="12">
      <c r="J180" s="154"/>
      <c r="K180" s="154"/>
      <c r="L180" s="154"/>
      <c r="M180" s="154"/>
      <c r="N180" s="154"/>
      <c r="O180" s="154"/>
      <c r="P180" s="154"/>
      <c r="Q180" s="154"/>
      <c r="R180" s="154"/>
      <c r="S180" s="154"/>
      <c r="T180" s="154"/>
      <c r="U180" s="154"/>
      <c r="V180" s="154"/>
    </row>
    <row r="181" spans="10:22" ht="12">
      <c r="J181" s="154"/>
      <c r="K181" s="154"/>
      <c r="L181" s="154"/>
      <c r="M181" s="154"/>
      <c r="N181" s="154"/>
      <c r="O181" s="154"/>
      <c r="P181" s="154"/>
      <c r="Q181" s="154"/>
      <c r="R181" s="154"/>
      <c r="S181" s="154"/>
      <c r="T181" s="154"/>
      <c r="U181" s="154"/>
      <c r="V181" s="154"/>
    </row>
    <row r="182" spans="10:22" ht="12">
      <c r="J182" s="154"/>
      <c r="K182" s="154"/>
      <c r="L182" s="154"/>
      <c r="M182" s="154"/>
      <c r="N182" s="154"/>
      <c r="O182" s="154"/>
      <c r="P182" s="154"/>
      <c r="Q182" s="154"/>
      <c r="R182" s="154"/>
      <c r="S182" s="154"/>
      <c r="T182" s="154"/>
      <c r="U182" s="154"/>
      <c r="V182" s="154"/>
    </row>
    <row r="183" spans="10:22" ht="12">
      <c r="J183" s="154"/>
      <c r="K183" s="154"/>
      <c r="L183" s="154"/>
      <c r="M183" s="154"/>
      <c r="N183" s="154"/>
      <c r="O183" s="154"/>
      <c r="P183" s="154"/>
      <c r="Q183" s="154"/>
      <c r="R183" s="154"/>
      <c r="S183" s="154"/>
      <c r="T183" s="154"/>
      <c r="U183" s="154"/>
      <c r="V183" s="154"/>
    </row>
    <row r="184" spans="10:22" ht="12">
      <c r="J184" s="154"/>
      <c r="K184" s="154"/>
      <c r="L184" s="154"/>
      <c r="M184" s="154"/>
      <c r="N184" s="154"/>
      <c r="O184" s="154"/>
      <c r="P184" s="154"/>
      <c r="Q184" s="154"/>
      <c r="R184" s="154"/>
      <c r="S184" s="154"/>
      <c r="T184" s="154"/>
      <c r="U184" s="154"/>
      <c r="V184" s="154"/>
    </row>
    <row r="185" spans="10:22" ht="12">
      <c r="J185" s="154"/>
      <c r="K185" s="154"/>
      <c r="L185" s="154"/>
      <c r="M185" s="154"/>
      <c r="N185" s="154"/>
      <c r="O185" s="154"/>
      <c r="P185" s="154"/>
      <c r="Q185" s="154"/>
      <c r="R185" s="154"/>
      <c r="S185" s="154"/>
      <c r="T185" s="154"/>
      <c r="U185" s="154"/>
      <c r="V185" s="154"/>
    </row>
    <row r="186" spans="10:22" ht="12">
      <c r="J186" s="154"/>
      <c r="K186" s="154"/>
      <c r="L186" s="154"/>
      <c r="M186" s="154"/>
      <c r="N186" s="154"/>
      <c r="O186" s="154"/>
      <c r="P186" s="154"/>
      <c r="Q186" s="154"/>
      <c r="R186" s="154"/>
      <c r="S186" s="154"/>
      <c r="T186" s="154"/>
      <c r="U186" s="154"/>
      <c r="V186" s="154"/>
    </row>
    <row r="187" spans="10:22" ht="12">
      <c r="J187" s="154"/>
      <c r="K187" s="154"/>
      <c r="L187" s="154"/>
      <c r="M187" s="154"/>
      <c r="N187" s="154"/>
      <c r="O187" s="154"/>
      <c r="P187" s="154"/>
      <c r="Q187" s="154"/>
      <c r="R187" s="154"/>
      <c r="S187" s="154"/>
      <c r="T187" s="154"/>
      <c r="U187" s="154"/>
      <c r="V187" s="154"/>
    </row>
    <row r="188" spans="10:22" ht="12">
      <c r="J188" s="154"/>
      <c r="K188" s="154"/>
      <c r="L188" s="154"/>
      <c r="M188" s="154"/>
      <c r="N188" s="154"/>
      <c r="O188" s="154"/>
      <c r="P188" s="154"/>
      <c r="Q188" s="154"/>
      <c r="R188" s="154"/>
      <c r="S188" s="154"/>
      <c r="T188" s="154"/>
      <c r="U188" s="154"/>
      <c r="V188" s="154"/>
    </row>
    <row r="189" spans="10:22" ht="12">
      <c r="J189" s="154"/>
      <c r="K189" s="154"/>
      <c r="L189" s="154"/>
      <c r="M189" s="154"/>
      <c r="N189" s="154"/>
      <c r="O189" s="154"/>
      <c r="P189" s="154"/>
      <c r="Q189" s="154"/>
      <c r="R189" s="154"/>
      <c r="S189" s="154"/>
      <c r="T189" s="154"/>
      <c r="U189" s="154"/>
      <c r="V189" s="154"/>
    </row>
    <row r="190" spans="10:22" ht="12">
      <c r="J190" s="154"/>
      <c r="K190" s="154"/>
      <c r="L190" s="154"/>
      <c r="M190" s="154"/>
      <c r="N190" s="154"/>
      <c r="O190" s="154"/>
      <c r="P190" s="154"/>
      <c r="Q190" s="154"/>
      <c r="R190" s="154"/>
      <c r="S190" s="154"/>
      <c r="T190" s="154"/>
      <c r="U190" s="154"/>
      <c r="V190" s="154"/>
    </row>
    <row r="191" spans="10:22" ht="12">
      <c r="J191" s="154"/>
      <c r="K191" s="154"/>
      <c r="L191" s="154"/>
      <c r="M191" s="154"/>
      <c r="N191" s="154"/>
      <c r="O191" s="154"/>
      <c r="P191" s="154"/>
      <c r="Q191" s="154"/>
      <c r="R191" s="154"/>
      <c r="S191" s="154"/>
      <c r="T191" s="154"/>
      <c r="U191" s="154"/>
      <c r="V191" s="154"/>
    </row>
    <row r="192" spans="10:22" ht="12">
      <c r="J192" s="154"/>
      <c r="K192" s="154"/>
      <c r="L192" s="154"/>
      <c r="M192" s="154"/>
      <c r="N192" s="154"/>
      <c r="O192" s="154"/>
      <c r="P192" s="154"/>
      <c r="Q192" s="154"/>
      <c r="R192" s="154"/>
      <c r="S192" s="154"/>
      <c r="T192" s="154"/>
      <c r="U192" s="154"/>
      <c r="V192" s="154"/>
    </row>
    <row r="193" spans="10:22" ht="12">
      <c r="J193" s="154"/>
      <c r="K193" s="154"/>
      <c r="L193" s="154"/>
      <c r="M193" s="154"/>
      <c r="N193" s="154"/>
      <c r="O193" s="154"/>
      <c r="P193" s="154"/>
      <c r="Q193" s="154"/>
      <c r="R193" s="154"/>
      <c r="S193" s="154"/>
      <c r="T193" s="154"/>
      <c r="U193" s="154"/>
      <c r="V193" s="154"/>
    </row>
    <row r="194" spans="10:22" ht="12">
      <c r="J194" s="154"/>
      <c r="K194" s="154"/>
      <c r="L194" s="154"/>
      <c r="M194" s="154"/>
      <c r="N194" s="154"/>
      <c r="O194" s="154"/>
      <c r="P194" s="154"/>
      <c r="Q194" s="154"/>
      <c r="R194" s="154"/>
      <c r="S194" s="154"/>
      <c r="T194" s="154"/>
      <c r="U194" s="154"/>
      <c r="V194" s="154"/>
    </row>
    <row r="195" spans="10:22" ht="12">
      <c r="J195" s="154"/>
      <c r="K195" s="154"/>
      <c r="L195" s="154"/>
      <c r="M195" s="154"/>
      <c r="N195" s="154"/>
      <c r="O195" s="154"/>
      <c r="P195" s="154"/>
      <c r="Q195" s="154"/>
      <c r="R195" s="154"/>
      <c r="S195" s="154"/>
      <c r="T195" s="154"/>
      <c r="U195" s="154"/>
      <c r="V195" s="154"/>
    </row>
    <row r="196" spans="10:22" ht="12">
      <c r="J196" s="154"/>
      <c r="K196" s="154"/>
      <c r="L196" s="154"/>
      <c r="M196" s="154"/>
      <c r="N196" s="154"/>
      <c r="O196" s="154"/>
      <c r="P196" s="154"/>
      <c r="Q196" s="154"/>
      <c r="R196" s="154"/>
      <c r="S196" s="154"/>
      <c r="T196" s="154"/>
      <c r="U196" s="154"/>
      <c r="V196" s="154"/>
    </row>
    <row r="197" spans="10:22" ht="12">
      <c r="J197" s="154"/>
      <c r="K197" s="154"/>
      <c r="L197" s="154"/>
      <c r="M197" s="154"/>
      <c r="N197" s="154"/>
      <c r="O197" s="154"/>
      <c r="P197" s="154"/>
      <c r="Q197" s="154"/>
      <c r="R197" s="154"/>
      <c r="S197" s="154"/>
      <c r="T197" s="154"/>
      <c r="U197" s="154"/>
      <c r="V197" s="154"/>
    </row>
    <row r="198" spans="10:22" ht="12">
      <c r="J198" s="154"/>
      <c r="K198" s="154"/>
      <c r="L198" s="154"/>
      <c r="M198" s="154"/>
      <c r="N198" s="154"/>
      <c r="O198" s="154"/>
      <c r="P198" s="154"/>
      <c r="Q198" s="154"/>
      <c r="R198" s="154"/>
      <c r="S198" s="154"/>
      <c r="T198" s="154"/>
      <c r="U198" s="154"/>
      <c r="V198" s="154"/>
    </row>
    <row r="199" spans="10:22" ht="12">
      <c r="J199" s="154"/>
      <c r="K199" s="154"/>
      <c r="L199" s="154"/>
      <c r="M199" s="154"/>
      <c r="N199" s="154"/>
      <c r="O199" s="154"/>
      <c r="P199" s="154"/>
      <c r="Q199" s="154"/>
      <c r="R199" s="154"/>
      <c r="S199" s="154"/>
      <c r="T199" s="154"/>
      <c r="U199" s="154"/>
      <c r="V199" s="154"/>
    </row>
    <row r="200" spans="10:22" ht="12">
      <c r="J200" s="154"/>
      <c r="K200" s="154"/>
      <c r="L200" s="154"/>
      <c r="M200" s="154"/>
      <c r="N200" s="154"/>
      <c r="O200" s="154"/>
      <c r="P200" s="154"/>
      <c r="Q200" s="154"/>
      <c r="R200" s="154"/>
      <c r="S200" s="154"/>
      <c r="T200" s="154"/>
      <c r="U200" s="154"/>
      <c r="V200" s="154"/>
    </row>
    <row r="201" spans="10:22" ht="12">
      <c r="J201" s="154"/>
      <c r="K201" s="154"/>
      <c r="L201" s="154"/>
      <c r="M201" s="154"/>
      <c r="N201" s="154"/>
      <c r="O201" s="154"/>
      <c r="P201" s="154"/>
      <c r="Q201" s="154"/>
      <c r="R201" s="154"/>
      <c r="S201" s="154"/>
      <c r="T201" s="154"/>
      <c r="U201" s="154"/>
      <c r="V201" s="154"/>
    </row>
    <row r="202" spans="10:22" ht="12">
      <c r="J202" s="154"/>
      <c r="K202" s="154"/>
      <c r="L202" s="154"/>
      <c r="M202" s="154"/>
      <c r="N202" s="154"/>
      <c r="O202" s="154"/>
      <c r="P202" s="154"/>
      <c r="Q202" s="154"/>
      <c r="R202" s="154"/>
      <c r="S202" s="154"/>
      <c r="T202" s="154"/>
      <c r="U202" s="154"/>
      <c r="V202" s="154"/>
    </row>
    <row r="203" spans="10:22" ht="12">
      <c r="J203" s="154"/>
      <c r="K203" s="154"/>
      <c r="L203" s="154"/>
      <c r="M203" s="154"/>
      <c r="N203" s="154"/>
      <c r="O203" s="154"/>
      <c r="P203" s="154"/>
      <c r="Q203" s="154"/>
      <c r="R203" s="154"/>
      <c r="S203" s="154"/>
      <c r="T203" s="154"/>
      <c r="U203" s="154"/>
      <c r="V203" s="154"/>
    </row>
    <row r="204" spans="10:22" ht="12">
      <c r="J204" s="154"/>
      <c r="K204" s="154"/>
      <c r="L204" s="154"/>
      <c r="M204" s="154"/>
      <c r="N204" s="154"/>
      <c r="O204" s="154"/>
      <c r="P204" s="154"/>
      <c r="Q204" s="154"/>
      <c r="R204" s="154"/>
      <c r="S204" s="154"/>
      <c r="T204" s="154"/>
      <c r="U204" s="154"/>
      <c r="V204" s="154"/>
    </row>
    <row r="205" spans="10:22" ht="12">
      <c r="J205" s="154"/>
      <c r="K205" s="154"/>
      <c r="L205" s="154"/>
      <c r="M205" s="154"/>
      <c r="N205" s="154"/>
      <c r="O205" s="154"/>
      <c r="P205" s="154"/>
      <c r="Q205" s="154"/>
      <c r="R205" s="154"/>
      <c r="S205" s="154"/>
      <c r="T205" s="154"/>
      <c r="U205" s="154"/>
      <c r="V205" s="154"/>
    </row>
    <row r="206" spans="10:22" ht="12">
      <c r="J206" s="154"/>
      <c r="K206" s="154"/>
      <c r="L206" s="154"/>
      <c r="M206" s="154"/>
      <c r="N206" s="154"/>
      <c r="O206" s="154"/>
      <c r="P206" s="154"/>
      <c r="Q206" s="154"/>
      <c r="R206" s="154"/>
      <c r="S206" s="154"/>
      <c r="T206" s="154"/>
      <c r="U206" s="154"/>
      <c r="V206" s="154"/>
    </row>
    <row r="207" spans="10:22" ht="12">
      <c r="J207" s="154"/>
      <c r="K207" s="154"/>
      <c r="L207" s="154"/>
      <c r="M207" s="154"/>
      <c r="N207" s="154"/>
      <c r="O207" s="154"/>
      <c r="P207" s="154"/>
      <c r="Q207" s="154"/>
      <c r="R207" s="154"/>
      <c r="S207" s="154"/>
      <c r="T207" s="154"/>
      <c r="U207" s="154"/>
      <c r="V207" s="154"/>
    </row>
    <row r="208" spans="10:22" ht="12">
      <c r="J208" s="154"/>
      <c r="K208" s="154"/>
      <c r="L208" s="154"/>
      <c r="M208" s="154"/>
      <c r="N208" s="154"/>
      <c r="O208" s="154"/>
      <c r="P208" s="154"/>
      <c r="Q208" s="154"/>
      <c r="R208" s="154"/>
      <c r="S208" s="154"/>
      <c r="T208" s="154"/>
      <c r="U208" s="154"/>
      <c r="V208" s="154"/>
    </row>
    <row r="209" spans="10:22" ht="12">
      <c r="J209" s="154"/>
      <c r="K209" s="154"/>
      <c r="L209" s="154"/>
      <c r="M209" s="154"/>
      <c r="N209" s="154"/>
      <c r="O209" s="154"/>
      <c r="P209" s="154"/>
      <c r="Q209" s="154"/>
      <c r="R209" s="154"/>
      <c r="S209" s="154"/>
      <c r="T209" s="154"/>
      <c r="U209" s="154"/>
      <c r="V209" s="154"/>
    </row>
    <row r="210" spans="10:22" ht="12">
      <c r="J210" s="154"/>
      <c r="K210" s="154"/>
      <c r="L210" s="154"/>
      <c r="M210" s="154"/>
      <c r="N210" s="154"/>
      <c r="O210" s="154"/>
      <c r="P210" s="154"/>
      <c r="Q210" s="154"/>
      <c r="R210" s="154"/>
      <c r="S210" s="154"/>
      <c r="T210" s="154"/>
      <c r="U210" s="154"/>
      <c r="V210" s="154"/>
    </row>
    <row r="211" spans="10:22" ht="12">
      <c r="J211" s="154"/>
      <c r="K211" s="154"/>
      <c r="L211" s="154"/>
      <c r="M211" s="154"/>
      <c r="N211" s="154"/>
      <c r="O211" s="154"/>
      <c r="P211" s="154"/>
      <c r="Q211" s="154"/>
      <c r="R211" s="154"/>
      <c r="S211" s="154"/>
      <c r="T211" s="154"/>
      <c r="U211" s="154"/>
      <c r="V211" s="154"/>
    </row>
    <row r="212" spans="10:22" ht="12">
      <c r="J212" s="154"/>
      <c r="K212" s="154"/>
      <c r="L212" s="154"/>
      <c r="M212" s="154"/>
      <c r="N212" s="154"/>
      <c r="O212" s="154"/>
      <c r="P212" s="154"/>
      <c r="Q212" s="154"/>
      <c r="R212" s="154"/>
      <c r="S212" s="154"/>
      <c r="T212" s="154"/>
      <c r="U212" s="154"/>
      <c r="V212" s="154"/>
    </row>
    <row r="213" spans="10:22" ht="12">
      <c r="J213" s="154"/>
      <c r="K213" s="154"/>
      <c r="L213" s="154"/>
      <c r="M213" s="154"/>
      <c r="N213" s="154"/>
      <c r="O213" s="154"/>
      <c r="P213" s="154"/>
      <c r="Q213" s="154"/>
      <c r="R213" s="154"/>
      <c r="S213" s="154"/>
      <c r="T213" s="154"/>
      <c r="U213" s="154"/>
      <c r="V213" s="154"/>
    </row>
    <row r="214" spans="10:22" ht="12">
      <c r="J214" s="154"/>
      <c r="K214" s="154"/>
      <c r="L214" s="154"/>
      <c r="M214" s="154"/>
      <c r="N214" s="154"/>
      <c r="O214" s="154"/>
      <c r="P214" s="154"/>
      <c r="Q214" s="154"/>
      <c r="R214" s="154"/>
      <c r="S214" s="154"/>
      <c r="T214" s="154"/>
      <c r="U214" s="154"/>
      <c r="V214" s="154"/>
    </row>
    <row r="215" spans="10:22" ht="12">
      <c r="J215" s="154"/>
      <c r="K215" s="154"/>
      <c r="L215" s="154"/>
      <c r="M215" s="154"/>
      <c r="N215" s="154"/>
      <c r="O215" s="154"/>
      <c r="P215" s="154"/>
      <c r="Q215" s="154"/>
      <c r="R215" s="154"/>
      <c r="S215" s="154"/>
      <c r="T215" s="154"/>
      <c r="U215" s="154"/>
      <c r="V215" s="154"/>
    </row>
    <row r="216" spans="10:22" ht="12">
      <c r="J216" s="154"/>
      <c r="K216" s="154"/>
      <c r="L216" s="154"/>
      <c r="M216" s="154"/>
      <c r="N216" s="154"/>
      <c r="O216" s="154"/>
      <c r="P216" s="154"/>
      <c r="Q216" s="154"/>
      <c r="R216" s="154"/>
      <c r="S216" s="154"/>
      <c r="T216" s="154"/>
      <c r="U216" s="154"/>
      <c r="V216" s="154"/>
    </row>
    <row r="217" spans="10:22" ht="12">
      <c r="J217" s="154"/>
      <c r="K217" s="154"/>
      <c r="L217" s="154"/>
      <c r="M217" s="154"/>
      <c r="N217" s="154"/>
      <c r="O217" s="154"/>
      <c r="P217" s="154"/>
      <c r="Q217" s="154"/>
      <c r="R217" s="154"/>
      <c r="S217" s="154"/>
      <c r="T217" s="154"/>
      <c r="U217" s="154"/>
      <c r="V217" s="154"/>
    </row>
    <row r="218" spans="10:22" ht="12">
      <c r="J218" s="154"/>
      <c r="K218" s="154"/>
      <c r="L218" s="154"/>
      <c r="M218" s="154"/>
      <c r="N218" s="154"/>
      <c r="O218" s="154"/>
      <c r="P218" s="154"/>
      <c r="Q218" s="154"/>
      <c r="R218" s="154"/>
      <c r="S218" s="154"/>
      <c r="T218" s="154"/>
      <c r="U218" s="154"/>
      <c r="V218" s="154"/>
    </row>
    <row r="219" spans="10:22" ht="12">
      <c r="J219" s="154"/>
      <c r="K219" s="154"/>
      <c r="L219" s="154"/>
      <c r="M219" s="154"/>
      <c r="N219" s="154"/>
      <c r="O219" s="154"/>
      <c r="P219" s="154"/>
      <c r="Q219" s="154"/>
      <c r="R219" s="154"/>
      <c r="S219" s="154"/>
      <c r="T219" s="154"/>
      <c r="U219" s="154"/>
      <c r="V219" s="154"/>
    </row>
    <row r="220" spans="10:22" ht="12">
      <c r="J220" s="154"/>
      <c r="K220" s="154"/>
      <c r="L220" s="154"/>
      <c r="M220" s="154"/>
      <c r="N220" s="154"/>
      <c r="O220" s="154"/>
      <c r="P220" s="154"/>
      <c r="Q220" s="154"/>
      <c r="R220" s="154"/>
      <c r="S220" s="154"/>
      <c r="T220" s="154"/>
      <c r="U220" s="154"/>
      <c r="V220" s="154"/>
    </row>
    <row r="221" spans="10:22" ht="12">
      <c r="J221" s="154"/>
      <c r="K221" s="154"/>
      <c r="L221" s="154"/>
      <c r="M221" s="154"/>
      <c r="N221" s="154"/>
      <c r="O221" s="154"/>
      <c r="P221" s="154"/>
      <c r="Q221" s="154"/>
      <c r="R221" s="154"/>
      <c r="S221" s="154"/>
      <c r="T221" s="154"/>
      <c r="U221" s="154"/>
      <c r="V221" s="154"/>
    </row>
    <row r="222" spans="10:22" ht="12">
      <c r="J222" s="154"/>
      <c r="K222" s="154"/>
      <c r="L222" s="154"/>
      <c r="M222" s="154"/>
      <c r="N222" s="154"/>
      <c r="O222" s="154"/>
      <c r="P222" s="154"/>
      <c r="Q222" s="154"/>
      <c r="R222" s="154"/>
      <c r="S222" s="154"/>
      <c r="T222" s="154"/>
      <c r="U222" s="154"/>
      <c r="V222" s="154"/>
    </row>
    <row r="223" spans="10:22" ht="12">
      <c r="J223" s="154"/>
      <c r="K223" s="154"/>
      <c r="L223" s="154"/>
      <c r="M223" s="154"/>
      <c r="N223" s="154"/>
      <c r="O223" s="154"/>
      <c r="P223" s="154"/>
      <c r="Q223" s="154"/>
      <c r="R223" s="154"/>
      <c r="S223" s="154"/>
      <c r="T223" s="154"/>
      <c r="U223" s="154"/>
      <c r="V223" s="154"/>
    </row>
    <row r="224" spans="10:22" ht="12">
      <c r="J224" s="154"/>
      <c r="K224" s="154"/>
      <c r="L224" s="154"/>
      <c r="M224" s="154"/>
      <c r="N224" s="154"/>
      <c r="O224" s="154"/>
      <c r="P224" s="154"/>
      <c r="Q224" s="154"/>
      <c r="R224" s="154"/>
      <c r="S224" s="154"/>
      <c r="T224" s="154"/>
      <c r="U224" s="154"/>
      <c r="V224" s="154"/>
    </row>
    <row r="225" spans="10:22" ht="12">
      <c r="J225" s="154"/>
      <c r="K225" s="154"/>
      <c r="L225" s="154"/>
      <c r="M225" s="154"/>
      <c r="N225" s="154"/>
      <c r="O225" s="154"/>
      <c r="P225" s="154"/>
      <c r="Q225" s="154"/>
      <c r="R225" s="154"/>
      <c r="S225" s="154"/>
      <c r="T225" s="154"/>
      <c r="U225" s="154"/>
      <c r="V225" s="154"/>
    </row>
    <row r="226" spans="10:22" ht="12">
      <c r="J226" s="154"/>
      <c r="K226" s="154"/>
      <c r="L226" s="154"/>
      <c r="M226" s="154"/>
      <c r="N226" s="154"/>
      <c r="O226" s="154"/>
      <c r="P226" s="154"/>
      <c r="Q226" s="154"/>
      <c r="R226" s="154"/>
      <c r="S226" s="154"/>
      <c r="T226" s="154"/>
      <c r="U226" s="154"/>
      <c r="V226" s="154"/>
    </row>
    <row r="227" spans="10:22" ht="12">
      <c r="J227" s="154"/>
      <c r="K227" s="154"/>
      <c r="L227" s="154"/>
      <c r="M227" s="154"/>
      <c r="N227" s="154"/>
      <c r="O227" s="154"/>
      <c r="P227" s="154"/>
      <c r="Q227" s="154"/>
      <c r="R227" s="154"/>
      <c r="S227" s="154"/>
      <c r="T227" s="154"/>
      <c r="U227" s="154"/>
      <c r="V227" s="154"/>
    </row>
    <row r="228" spans="10:22" ht="12">
      <c r="J228" s="154"/>
      <c r="K228" s="154"/>
      <c r="L228" s="154"/>
      <c r="M228" s="154"/>
      <c r="N228" s="154"/>
      <c r="O228" s="154"/>
      <c r="P228" s="154"/>
      <c r="Q228" s="154"/>
      <c r="R228" s="154"/>
      <c r="S228" s="154"/>
      <c r="T228" s="154"/>
      <c r="U228" s="154"/>
      <c r="V228" s="154"/>
    </row>
    <row r="229" spans="10:22" ht="12">
      <c r="J229" s="154"/>
      <c r="K229" s="154"/>
      <c r="L229" s="154"/>
      <c r="M229" s="154"/>
      <c r="N229" s="154"/>
      <c r="O229" s="154"/>
      <c r="P229" s="154"/>
      <c r="Q229" s="154"/>
      <c r="R229" s="154"/>
      <c r="S229" s="154"/>
      <c r="T229" s="154"/>
      <c r="U229" s="154"/>
      <c r="V229" s="154"/>
    </row>
    <row r="230" spans="10:22" ht="12">
      <c r="J230" s="154"/>
      <c r="K230" s="154"/>
      <c r="L230" s="154"/>
      <c r="M230" s="154"/>
      <c r="N230" s="154"/>
      <c r="O230" s="154"/>
      <c r="P230" s="154"/>
      <c r="Q230" s="154"/>
      <c r="R230" s="154"/>
      <c r="S230" s="154"/>
      <c r="T230" s="154"/>
      <c r="U230" s="154"/>
      <c r="V230" s="154"/>
    </row>
    <row r="231" spans="10:22" ht="12">
      <c r="J231" s="154"/>
      <c r="K231" s="154"/>
      <c r="L231" s="154"/>
      <c r="M231" s="154"/>
      <c r="N231" s="154"/>
      <c r="O231" s="154"/>
      <c r="P231" s="154"/>
      <c r="Q231" s="154"/>
      <c r="R231" s="154"/>
      <c r="S231" s="154"/>
      <c r="T231" s="154"/>
      <c r="U231" s="154"/>
      <c r="V231" s="154"/>
    </row>
    <row r="232" spans="10:22" ht="12">
      <c r="J232" s="154"/>
      <c r="K232" s="154"/>
      <c r="L232" s="154"/>
      <c r="M232" s="154"/>
      <c r="N232" s="154"/>
      <c r="O232" s="154"/>
      <c r="P232" s="154"/>
      <c r="Q232" s="154"/>
      <c r="R232" s="154"/>
      <c r="S232" s="154"/>
      <c r="T232" s="154"/>
      <c r="U232" s="154"/>
      <c r="V232" s="154"/>
    </row>
    <row r="233" spans="10:22" ht="12">
      <c r="J233" s="154"/>
      <c r="K233" s="154"/>
      <c r="L233" s="154"/>
      <c r="M233" s="154"/>
      <c r="N233" s="154"/>
      <c r="O233" s="154"/>
      <c r="P233" s="154"/>
      <c r="Q233" s="154"/>
      <c r="R233" s="154"/>
      <c r="S233" s="154"/>
      <c r="T233" s="154"/>
      <c r="U233" s="154"/>
      <c r="V233" s="154"/>
    </row>
    <row r="234" spans="10:22" ht="12">
      <c r="J234" s="154"/>
      <c r="K234" s="154"/>
      <c r="L234" s="154"/>
      <c r="M234" s="154"/>
      <c r="N234" s="154"/>
      <c r="O234" s="154"/>
      <c r="P234" s="154"/>
      <c r="Q234" s="154"/>
      <c r="R234" s="154"/>
      <c r="S234" s="154"/>
      <c r="T234" s="154"/>
      <c r="U234" s="154"/>
      <c r="V234" s="154"/>
    </row>
    <row r="235" spans="10:22" ht="12">
      <c r="J235" s="154"/>
      <c r="K235" s="154"/>
      <c r="L235" s="154"/>
      <c r="M235" s="154"/>
      <c r="N235" s="154"/>
      <c r="O235" s="154"/>
      <c r="P235" s="154"/>
      <c r="Q235" s="154"/>
      <c r="R235" s="154"/>
      <c r="S235" s="154"/>
      <c r="T235" s="154"/>
      <c r="U235" s="154"/>
      <c r="V235" s="154"/>
    </row>
    <row r="236" spans="10:22" ht="12">
      <c r="J236" s="154"/>
      <c r="K236" s="154"/>
      <c r="L236" s="154"/>
      <c r="M236" s="154"/>
      <c r="N236" s="154"/>
      <c r="O236" s="154"/>
      <c r="P236" s="154"/>
      <c r="Q236" s="154"/>
      <c r="R236" s="154"/>
      <c r="S236" s="154"/>
      <c r="T236" s="154"/>
      <c r="U236" s="154"/>
      <c r="V236" s="154"/>
    </row>
    <row r="237" spans="10:22" ht="12">
      <c r="J237" s="154"/>
      <c r="K237" s="154"/>
      <c r="L237" s="154"/>
      <c r="M237" s="154"/>
      <c r="N237" s="154"/>
      <c r="O237" s="154"/>
      <c r="P237" s="154"/>
      <c r="Q237" s="154"/>
      <c r="R237" s="154"/>
      <c r="S237" s="154"/>
      <c r="T237" s="154"/>
      <c r="U237" s="154"/>
      <c r="V237" s="154"/>
    </row>
    <row r="238" spans="10:22" ht="12">
      <c r="J238" s="154"/>
      <c r="K238" s="154"/>
      <c r="L238" s="154"/>
      <c r="M238" s="154"/>
      <c r="N238" s="154"/>
      <c r="O238" s="154"/>
      <c r="P238" s="154"/>
      <c r="Q238" s="154"/>
      <c r="R238" s="154"/>
      <c r="S238" s="154"/>
      <c r="T238" s="154"/>
      <c r="U238" s="154"/>
      <c r="V238" s="154"/>
    </row>
    <row r="239" spans="10:22" ht="12">
      <c r="J239" s="154"/>
      <c r="K239" s="154"/>
      <c r="L239" s="154"/>
      <c r="M239" s="154"/>
      <c r="N239" s="154"/>
      <c r="O239" s="154"/>
      <c r="P239" s="154"/>
      <c r="Q239" s="154"/>
      <c r="R239" s="154"/>
      <c r="S239" s="154"/>
      <c r="T239" s="154"/>
      <c r="U239" s="154"/>
      <c r="V239" s="154"/>
    </row>
    <row r="240" spans="10:22" ht="12">
      <c r="J240" s="154"/>
      <c r="K240" s="154"/>
      <c r="L240" s="154"/>
      <c r="M240" s="154"/>
      <c r="N240" s="154"/>
      <c r="O240" s="154"/>
      <c r="P240" s="154"/>
      <c r="Q240" s="154"/>
      <c r="R240" s="154"/>
      <c r="S240" s="154"/>
      <c r="T240" s="154"/>
      <c r="U240" s="154"/>
      <c r="V240" s="154"/>
    </row>
    <row r="241" spans="10:22" ht="12">
      <c r="J241" s="154"/>
      <c r="K241" s="154"/>
      <c r="L241" s="154"/>
      <c r="M241" s="154"/>
      <c r="N241" s="154"/>
      <c r="O241" s="154"/>
      <c r="P241" s="154"/>
      <c r="Q241" s="154"/>
      <c r="R241" s="154"/>
      <c r="S241" s="154"/>
      <c r="T241" s="154"/>
      <c r="U241" s="154"/>
      <c r="V241" s="154"/>
    </row>
    <row r="242" spans="10:22" ht="12">
      <c r="J242" s="154"/>
      <c r="K242" s="154"/>
      <c r="L242" s="154"/>
      <c r="M242" s="154"/>
      <c r="N242" s="154"/>
      <c r="O242" s="154"/>
      <c r="P242" s="154"/>
      <c r="Q242" s="154"/>
      <c r="R242" s="154"/>
      <c r="S242" s="154"/>
      <c r="T242" s="154"/>
      <c r="U242" s="154"/>
      <c r="V242" s="154"/>
    </row>
    <row r="243" spans="10:22" ht="12">
      <c r="J243" s="154"/>
      <c r="K243" s="154"/>
      <c r="L243" s="154"/>
      <c r="M243" s="154"/>
      <c r="N243" s="154"/>
      <c r="O243" s="154"/>
      <c r="P243" s="154"/>
      <c r="Q243" s="154"/>
      <c r="R243" s="154"/>
      <c r="S243" s="154"/>
      <c r="T243" s="154"/>
      <c r="U243" s="154"/>
      <c r="V243" s="154"/>
    </row>
    <row r="244" spans="10:22" ht="12">
      <c r="J244" s="154"/>
      <c r="K244" s="154"/>
      <c r="L244" s="154"/>
      <c r="M244" s="154"/>
      <c r="N244" s="154"/>
      <c r="O244" s="154"/>
      <c r="P244" s="154"/>
      <c r="Q244" s="154"/>
      <c r="R244" s="154"/>
      <c r="S244" s="154"/>
      <c r="T244" s="154"/>
      <c r="U244" s="154"/>
      <c r="V244" s="154"/>
    </row>
    <row r="245" spans="10:22" ht="12">
      <c r="J245" s="154"/>
      <c r="K245" s="154"/>
      <c r="L245" s="154"/>
      <c r="M245" s="154"/>
      <c r="N245" s="154"/>
      <c r="O245" s="154"/>
      <c r="P245" s="154"/>
      <c r="Q245" s="154"/>
      <c r="R245" s="154"/>
      <c r="S245" s="154"/>
      <c r="T245" s="154"/>
      <c r="U245" s="154"/>
      <c r="V245" s="154"/>
    </row>
    <row r="246" spans="10:22" ht="12">
      <c r="J246" s="154"/>
      <c r="K246" s="154"/>
      <c r="L246" s="154"/>
      <c r="M246" s="154"/>
      <c r="N246" s="154"/>
      <c r="O246" s="154"/>
      <c r="P246" s="154"/>
      <c r="Q246" s="154"/>
      <c r="R246" s="154"/>
      <c r="S246" s="154"/>
      <c r="T246" s="154"/>
      <c r="U246" s="154"/>
      <c r="V246" s="154"/>
    </row>
    <row r="247" spans="10:22" ht="12">
      <c r="J247" s="154"/>
      <c r="K247" s="154"/>
      <c r="L247" s="154"/>
      <c r="M247" s="154"/>
      <c r="N247" s="154"/>
      <c r="O247" s="154"/>
      <c r="P247" s="154"/>
      <c r="Q247" s="154"/>
      <c r="R247" s="154"/>
      <c r="S247" s="154"/>
      <c r="T247" s="154"/>
      <c r="U247" s="154"/>
      <c r="V247" s="154"/>
    </row>
    <row r="248" spans="10:22" ht="12">
      <c r="J248" s="154"/>
      <c r="K248" s="154"/>
      <c r="L248" s="154"/>
      <c r="M248" s="154"/>
      <c r="N248" s="154"/>
      <c r="O248" s="154"/>
      <c r="P248" s="154"/>
      <c r="Q248" s="154"/>
      <c r="R248" s="154"/>
      <c r="S248" s="154"/>
      <c r="T248" s="154"/>
      <c r="U248" s="154"/>
      <c r="V248" s="154"/>
    </row>
    <row r="249" spans="10:22" ht="12">
      <c r="J249" s="154"/>
      <c r="K249" s="154"/>
      <c r="L249" s="154"/>
      <c r="M249" s="154"/>
      <c r="N249" s="154"/>
      <c r="O249" s="154"/>
      <c r="P249" s="154"/>
      <c r="Q249" s="154"/>
      <c r="R249" s="154"/>
      <c r="S249" s="154"/>
      <c r="T249" s="154"/>
      <c r="U249" s="154"/>
      <c r="V249" s="154"/>
    </row>
    <row r="250" spans="10:22" ht="12">
      <c r="J250" s="154"/>
      <c r="K250" s="154"/>
      <c r="L250" s="154"/>
      <c r="M250" s="154"/>
      <c r="N250" s="154"/>
      <c r="O250" s="154"/>
      <c r="P250" s="154"/>
      <c r="Q250" s="154"/>
      <c r="R250" s="154"/>
      <c r="S250" s="154"/>
      <c r="T250" s="154"/>
      <c r="U250" s="154"/>
      <c r="V250" s="154"/>
    </row>
    <row r="251" spans="10:22" ht="12">
      <c r="J251" s="154"/>
      <c r="K251" s="154"/>
      <c r="L251" s="154"/>
      <c r="M251" s="154"/>
      <c r="N251" s="154"/>
      <c r="O251" s="154"/>
      <c r="P251" s="154"/>
      <c r="Q251" s="154"/>
      <c r="R251" s="154"/>
      <c r="S251" s="154"/>
      <c r="T251" s="154"/>
      <c r="U251" s="154"/>
      <c r="V251" s="154"/>
    </row>
    <row r="252" spans="10:22" ht="12">
      <c r="J252" s="154"/>
      <c r="K252" s="154"/>
      <c r="L252" s="154"/>
      <c r="M252" s="154"/>
      <c r="N252" s="154"/>
      <c r="O252" s="154"/>
      <c r="P252" s="154"/>
      <c r="Q252" s="154"/>
      <c r="R252" s="154"/>
      <c r="S252" s="154"/>
      <c r="T252" s="154"/>
      <c r="U252" s="154"/>
      <c r="V252" s="154"/>
    </row>
    <row r="253" spans="10:22" ht="12">
      <c r="J253" s="154"/>
      <c r="K253" s="154"/>
      <c r="L253" s="154"/>
      <c r="M253" s="154"/>
      <c r="N253" s="154"/>
      <c r="O253" s="154"/>
      <c r="P253" s="154"/>
      <c r="Q253" s="154"/>
      <c r="R253" s="154"/>
      <c r="S253" s="154"/>
      <c r="T253" s="154"/>
      <c r="U253" s="154"/>
      <c r="V253" s="154"/>
    </row>
    <row r="254" spans="10:22" ht="12">
      <c r="J254" s="154"/>
      <c r="K254" s="154"/>
      <c r="L254" s="154"/>
      <c r="M254" s="154"/>
      <c r="N254" s="154"/>
      <c r="O254" s="154"/>
      <c r="P254" s="154"/>
      <c r="Q254" s="154"/>
      <c r="R254" s="154"/>
      <c r="S254" s="154"/>
      <c r="T254" s="154"/>
      <c r="U254" s="154"/>
      <c r="V254" s="154"/>
    </row>
    <row r="255" spans="10:22" ht="12">
      <c r="J255" s="154"/>
      <c r="K255" s="154"/>
      <c r="L255" s="154"/>
      <c r="M255" s="154"/>
      <c r="N255" s="154"/>
      <c r="O255" s="154"/>
      <c r="P255" s="154"/>
      <c r="Q255" s="154"/>
      <c r="R255" s="154"/>
      <c r="S255" s="154"/>
      <c r="T255" s="154"/>
      <c r="U255" s="154"/>
      <c r="V255" s="154"/>
    </row>
    <row r="256" spans="10:22" ht="12">
      <c r="J256" s="154"/>
      <c r="K256" s="154"/>
      <c r="L256" s="154"/>
      <c r="M256" s="154"/>
      <c r="N256" s="154"/>
      <c r="O256" s="154"/>
      <c r="P256" s="154"/>
      <c r="Q256" s="154"/>
      <c r="R256" s="154"/>
      <c r="S256" s="154"/>
      <c r="T256" s="154"/>
      <c r="U256" s="154"/>
      <c r="V256" s="154"/>
    </row>
    <row r="257" spans="10:22" ht="12">
      <c r="J257" s="154"/>
      <c r="K257" s="154"/>
      <c r="L257" s="154"/>
      <c r="M257" s="154"/>
      <c r="N257" s="154"/>
      <c r="O257" s="154"/>
      <c r="P257" s="154"/>
      <c r="Q257" s="154"/>
      <c r="R257" s="154"/>
      <c r="S257" s="154"/>
      <c r="T257" s="154"/>
      <c r="U257" s="154"/>
      <c r="V257" s="154"/>
    </row>
    <row r="258" spans="10:22" ht="12">
      <c r="J258" s="154"/>
      <c r="K258" s="154"/>
      <c r="L258" s="154"/>
      <c r="M258" s="154"/>
      <c r="N258" s="154"/>
      <c r="O258" s="154"/>
      <c r="P258" s="154"/>
      <c r="Q258" s="154"/>
      <c r="R258" s="154"/>
      <c r="S258" s="154"/>
      <c r="T258" s="154"/>
      <c r="U258" s="154"/>
      <c r="V258" s="154"/>
    </row>
    <row r="259" spans="10:22" ht="12">
      <c r="J259" s="154"/>
      <c r="K259" s="154"/>
      <c r="L259" s="154"/>
      <c r="M259" s="154"/>
      <c r="N259" s="154"/>
      <c r="O259" s="154"/>
      <c r="P259" s="154"/>
      <c r="Q259" s="154"/>
      <c r="R259" s="154"/>
      <c r="S259" s="154"/>
      <c r="T259" s="154"/>
      <c r="U259" s="154"/>
      <c r="V259" s="154"/>
    </row>
    <row r="260" spans="10:22" ht="12">
      <c r="J260" s="154"/>
      <c r="K260" s="154"/>
      <c r="L260" s="154"/>
      <c r="M260" s="154"/>
      <c r="N260" s="154"/>
      <c r="O260" s="154"/>
      <c r="P260" s="154"/>
      <c r="Q260" s="154"/>
      <c r="R260" s="154"/>
      <c r="S260" s="154"/>
      <c r="T260" s="154"/>
      <c r="U260" s="154"/>
      <c r="V260" s="154"/>
    </row>
    <row r="261" spans="10:22" ht="12">
      <c r="J261" s="154"/>
      <c r="K261" s="154"/>
      <c r="L261" s="154"/>
      <c r="M261" s="154"/>
      <c r="N261" s="154"/>
      <c r="O261" s="154"/>
      <c r="P261" s="154"/>
      <c r="Q261" s="154"/>
      <c r="R261" s="154"/>
      <c r="S261" s="154"/>
      <c r="T261" s="154"/>
      <c r="U261" s="154"/>
      <c r="V261" s="154"/>
    </row>
    <row r="262" spans="10:22" ht="12">
      <c r="J262" s="154"/>
      <c r="K262" s="154"/>
      <c r="L262" s="154"/>
      <c r="M262" s="154"/>
      <c r="N262" s="154"/>
      <c r="O262" s="154"/>
      <c r="P262" s="154"/>
      <c r="Q262" s="154"/>
      <c r="R262" s="154"/>
      <c r="S262" s="154"/>
      <c r="T262" s="154"/>
      <c r="U262" s="154"/>
      <c r="V262" s="154"/>
    </row>
    <row r="263" spans="10:22" ht="12">
      <c r="J263" s="154"/>
      <c r="K263" s="154"/>
      <c r="L263" s="154"/>
      <c r="M263" s="154"/>
      <c r="N263" s="154"/>
      <c r="O263" s="154"/>
      <c r="P263" s="154"/>
      <c r="Q263" s="154"/>
      <c r="R263" s="154"/>
      <c r="S263" s="154"/>
      <c r="T263" s="154"/>
      <c r="U263" s="154"/>
      <c r="V263" s="154"/>
    </row>
    <row r="264" spans="10:22" ht="12">
      <c r="J264" s="154"/>
      <c r="K264" s="154"/>
      <c r="L264" s="154"/>
      <c r="M264" s="154"/>
      <c r="N264" s="154"/>
      <c r="O264" s="154"/>
      <c r="P264" s="154"/>
      <c r="Q264" s="154"/>
      <c r="R264" s="154"/>
      <c r="S264" s="154"/>
      <c r="T264" s="154"/>
      <c r="U264" s="154"/>
      <c r="V264" s="154"/>
    </row>
    <row r="265" spans="10:22" ht="12">
      <c r="J265" s="154"/>
      <c r="K265" s="154"/>
      <c r="L265" s="154"/>
      <c r="M265" s="154"/>
      <c r="N265" s="154"/>
      <c r="O265" s="154"/>
      <c r="P265" s="154"/>
      <c r="Q265" s="154"/>
      <c r="R265" s="154"/>
      <c r="S265" s="154"/>
      <c r="T265" s="154"/>
      <c r="U265" s="154"/>
      <c r="V265" s="154"/>
    </row>
    <row r="266" spans="10:22" ht="12">
      <c r="J266" s="154"/>
      <c r="K266" s="154"/>
      <c r="L266" s="154"/>
      <c r="M266" s="154"/>
      <c r="N266" s="154"/>
      <c r="O266" s="154"/>
      <c r="P266" s="154"/>
      <c r="Q266" s="154"/>
      <c r="R266" s="154"/>
      <c r="S266" s="154"/>
      <c r="T266" s="154"/>
      <c r="U266" s="154"/>
      <c r="V266" s="154"/>
    </row>
    <row r="267" spans="10:22" ht="12">
      <c r="J267" s="154"/>
      <c r="K267" s="154"/>
      <c r="L267" s="154"/>
      <c r="M267" s="154"/>
      <c r="N267" s="154"/>
      <c r="O267" s="154"/>
      <c r="P267" s="154"/>
      <c r="Q267" s="154"/>
      <c r="R267" s="154"/>
      <c r="S267" s="154"/>
      <c r="T267" s="154"/>
      <c r="U267" s="154"/>
      <c r="V267" s="154"/>
    </row>
    <row r="268" spans="10:22" ht="12">
      <c r="J268" s="154"/>
      <c r="K268" s="154"/>
      <c r="L268" s="154"/>
      <c r="M268" s="154"/>
      <c r="N268" s="154"/>
      <c r="O268" s="154"/>
      <c r="P268" s="154"/>
      <c r="Q268" s="154"/>
      <c r="R268" s="154"/>
      <c r="S268" s="154"/>
      <c r="T268" s="154"/>
      <c r="U268" s="154"/>
      <c r="V268" s="154"/>
    </row>
    <row r="269" spans="10:22" ht="12">
      <c r="J269" s="154"/>
      <c r="K269" s="154"/>
      <c r="L269" s="154"/>
      <c r="M269" s="154"/>
      <c r="N269" s="154"/>
      <c r="O269" s="154"/>
      <c r="P269" s="154"/>
      <c r="Q269" s="154"/>
      <c r="R269" s="154"/>
      <c r="S269" s="154"/>
      <c r="T269" s="154"/>
      <c r="U269" s="154"/>
      <c r="V269" s="154"/>
    </row>
    <row r="270" spans="10:22" ht="12">
      <c r="J270" s="154"/>
      <c r="K270" s="154"/>
      <c r="L270" s="154"/>
      <c r="M270" s="154"/>
      <c r="N270" s="154"/>
      <c r="O270" s="154"/>
      <c r="P270" s="154"/>
      <c r="Q270" s="154"/>
      <c r="R270" s="154"/>
      <c r="S270" s="154"/>
      <c r="T270" s="154"/>
      <c r="U270" s="154"/>
      <c r="V270" s="154"/>
    </row>
    <row r="271" spans="10:22" ht="12">
      <c r="J271" s="154"/>
      <c r="K271" s="154"/>
      <c r="L271" s="154"/>
      <c r="M271" s="154"/>
      <c r="N271" s="154"/>
      <c r="O271" s="154"/>
      <c r="P271" s="154"/>
      <c r="Q271" s="154"/>
      <c r="R271" s="154"/>
      <c r="S271" s="154"/>
      <c r="T271" s="154"/>
      <c r="U271" s="154"/>
      <c r="V271" s="154"/>
    </row>
  </sheetData>
  <sheetProtection sheet="1" formatCells="0" formatColumns="0" formatRows="0"/>
  <mergeCells count="52">
    <mergeCell ref="I58:I59"/>
    <mergeCell ref="C25:I26"/>
    <mergeCell ref="I32:I33"/>
    <mergeCell ref="C58:C59"/>
    <mergeCell ref="D58:D59"/>
    <mergeCell ref="E58:E59"/>
    <mergeCell ref="I47:I48"/>
    <mergeCell ref="C47:C48"/>
    <mergeCell ref="E47:E48"/>
    <mergeCell ref="I45:I46"/>
    <mergeCell ref="D45:D46"/>
    <mergeCell ref="E45:E46"/>
    <mergeCell ref="G45:G46"/>
    <mergeCell ref="C45:C46"/>
    <mergeCell ref="H58:H59"/>
    <mergeCell ref="H47:H48"/>
    <mergeCell ref="F58:F59"/>
    <mergeCell ref="G58:G59"/>
    <mergeCell ref="G47:G48"/>
    <mergeCell ref="F47:F48"/>
    <mergeCell ref="D47:D48"/>
    <mergeCell ref="B5:C5"/>
    <mergeCell ref="H32:H33"/>
    <mergeCell ref="H34:H35"/>
    <mergeCell ref="G32:G33"/>
    <mergeCell ref="C32:C33"/>
    <mergeCell ref="E32:E33"/>
    <mergeCell ref="C34:C35"/>
    <mergeCell ref="F45:F46"/>
    <mergeCell ref="D32:D33"/>
    <mergeCell ref="D34:D35"/>
    <mergeCell ref="A14:D19"/>
    <mergeCell ref="E7:G7"/>
    <mergeCell ref="A12:A13"/>
    <mergeCell ref="E34:E35"/>
    <mergeCell ref="F34:F35"/>
    <mergeCell ref="G34:G35"/>
    <mergeCell ref="H45:H46"/>
    <mergeCell ref="I14:I15"/>
    <mergeCell ref="I16:I17"/>
    <mergeCell ref="H16:H17"/>
    <mergeCell ref="I34:I35"/>
    <mergeCell ref="F32:F33"/>
    <mergeCell ref="H14:H15"/>
    <mergeCell ref="F18:I20"/>
    <mergeCell ref="G3:I3"/>
    <mergeCell ref="B3:D3"/>
    <mergeCell ref="A4:B4"/>
    <mergeCell ref="D4:I4"/>
    <mergeCell ref="E6:G6"/>
    <mergeCell ref="F5:H5"/>
    <mergeCell ref="D5:E5"/>
  </mergeCells>
  <dataValidations count="1">
    <dataValidation type="decimal" operator="greaterThanOrEqual" allowBlank="1" showInputMessage="1" showErrorMessage="1" errorTitle="Error" error="Value must be a number." sqref="B13:D13">
      <formula1>0</formula1>
    </dataValidation>
  </dataValidations>
  <hyperlinks>
    <hyperlink ref="A9" location="Summ_Page1_StudentCount" display="1.  Student Count"/>
  </hyperlinks>
  <printOptions horizontalCentered="1"/>
  <pageMargins left="0.25" right="0.25" top="0.25" bottom="0.25" header="0" footer="0.25"/>
  <pageSetup fitToHeight="1" fitToWidth="1" horizontalDpi="600" verticalDpi="600" orientation="landscape" paperSize="5" scale="81"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59"/>
  <sheetViews>
    <sheetView showGridLines="0" showOutlineSymbols="0" zoomScalePageLayoutView="0" workbookViewId="0" topLeftCell="A1">
      <selection activeCell="Q33" sqref="Q33"/>
    </sheetView>
  </sheetViews>
  <sheetFormatPr defaultColWidth="5.77734375" defaultRowHeight="15"/>
  <cols>
    <col min="1" max="1" width="1.77734375" style="14" customWidth="1"/>
    <col min="2" max="2" width="13.77734375" style="14" customWidth="1"/>
    <col min="3" max="5" width="9.5546875" style="14" customWidth="1"/>
    <col min="6" max="6" width="3.99609375" style="14" customWidth="1"/>
    <col min="7" max="7" width="5.21484375" style="14" customWidth="1"/>
    <col min="8" max="8" width="13.77734375" style="14" customWidth="1"/>
    <col min="9" max="9" width="8.21484375" style="14" customWidth="1"/>
    <col min="10" max="10" width="4.6640625" style="14" customWidth="1"/>
    <col min="11" max="11" width="4.21484375" style="14" customWidth="1"/>
    <col min="12" max="12" width="5.6640625" style="14" customWidth="1"/>
    <col min="13" max="13" width="25.5546875" style="14" customWidth="1"/>
    <col min="14" max="14" width="8.21484375" style="14" customWidth="1"/>
    <col min="15" max="15" width="8.4453125" style="14" customWidth="1"/>
    <col min="16" max="16384" width="5.77734375" style="14" customWidth="1"/>
  </cols>
  <sheetData>
    <row r="1" spans="1:15" ht="15" customHeight="1">
      <c r="A1" s="1727" t="s">
        <v>312</v>
      </c>
      <c r="B1" s="1727"/>
      <c r="C1" s="1727"/>
      <c r="D1" s="1727"/>
      <c r="E1" s="1727"/>
      <c r="F1" s="1727"/>
      <c r="G1" s="1727"/>
      <c r="H1" s="13"/>
      <c r="I1" s="243" t="s">
        <v>266</v>
      </c>
      <c r="J1" s="1723" t="str">
        <f>Cover!Q1</f>
        <v>070241000</v>
      </c>
      <c r="K1" s="1724"/>
      <c r="L1" s="70"/>
      <c r="M1" s="1721" t="s">
        <v>576</v>
      </c>
      <c r="N1" s="1721"/>
      <c r="O1" s="1721"/>
    </row>
    <row r="2" spans="1:15" ht="15">
      <c r="A2" s="11"/>
      <c r="B2" s="12"/>
      <c r="C2" s="13"/>
      <c r="D2" s="13"/>
      <c r="E2" s="13"/>
      <c r="F2" s="13"/>
      <c r="G2" s="13"/>
      <c r="H2" s="13"/>
      <c r="I2" s="643" t="s">
        <v>172</v>
      </c>
      <c r="J2" s="1728" t="str">
        <f>Cover!C8</f>
        <v>Revised #2</v>
      </c>
      <c r="K2" s="1729"/>
      <c r="L2" s="15"/>
      <c r="M2" s="1721"/>
      <c r="N2" s="1721"/>
      <c r="O2" s="1721"/>
    </row>
    <row r="3" spans="1:15" ht="11.25">
      <c r="A3" s="11"/>
      <c r="B3" s="12"/>
      <c r="C3" s="13"/>
      <c r="D3" s="13"/>
      <c r="E3" s="13"/>
      <c r="F3" s="13"/>
      <c r="G3" s="13"/>
      <c r="H3" s="13"/>
      <c r="I3" s="13"/>
      <c r="J3" s="13"/>
      <c r="K3" s="17"/>
      <c r="L3" s="18"/>
      <c r="M3" s="1722"/>
      <c r="N3" s="1722"/>
      <c r="O3" s="1722"/>
    </row>
    <row r="4" spans="1:15" ht="15" customHeight="1">
      <c r="A4" s="1715" t="s">
        <v>314</v>
      </c>
      <c r="B4" s="1716"/>
      <c r="C4" s="1716"/>
      <c r="D4" s="1716"/>
      <c r="E4" s="1716"/>
      <c r="F4" s="1716"/>
      <c r="G4" s="1717"/>
      <c r="H4" s="16"/>
      <c r="I4" s="13"/>
      <c r="J4" s="13"/>
      <c r="K4" s="17"/>
      <c r="L4" s="18"/>
      <c r="M4" s="994" t="s">
        <v>574</v>
      </c>
      <c r="N4" s="995" t="s">
        <v>564</v>
      </c>
      <c r="O4" s="996" t="s">
        <v>383</v>
      </c>
    </row>
    <row r="5" spans="1:15" ht="10.5" customHeight="1">
      <c r="A5" s="20"/>
      <c r="B5" s="21"/>
      <c r="C5" s="22"/>
      <c r="D5" s="23"/>
      <c r="E5" s="22" t="s">
        <v>81</v>
      </c>
      <c r="F5" s="1710" t="s">
        <v>208</v>
      </c>
      <c r="G5" s="1711"/>
      <c r="H5" s="1708" t="str">
        <f>IF(([0]!F001TotalExp&gt;0)*AND(OR(I36=0,I41=0)),"Incomplete: Please complete the Certified and Classified sections of the Proposed Staffing Table below."," ")</f>
        <v> </v>
      </c>
      <c r="I5" s="1709"/>
      <c r="J5" s="1709"/>
      <c r="K5" s="1709"/>
      <c r="L5" s="11"/>
      <c r="M5" s="997" t="s">
        <v>171</v>
      </c>
      <c r="N5" s="1006">
        <f>F050CurrFY</f>
        <v>0</v>
      </c>
      <c r="O5" s="1007">
        <f>F050BudgFY</f>
        <v>0</v>
      </c>
    </row>
    <row r="6" spans="1:15" ht="10.5" customHeight="1">
      <c r="A6" s="25"/>
      <c r="B6" s="26"/>
      <c r="C6" s="27" t="s">
        <v>315</v>
      </c>
      <c r="D6" s="28"/>
      <c r="E6" s="29" t="s">
        <v>313</v>
      </c>
      <c r="F6" s="1706" t="s">
        <v>313</v>
      </c>
      <c r="G6" s="1707"/>
      <c r="H6" s="1708"/>
      <c r="I6" s="1709"/>
      <c r="J6" s="1709"/>
      <c r="K6" s="1709"/>
      <c r="L6" s="11"/>
      <c r="M6" s="998" t="s">
        <v>226</v>
      </c>
      <c r="N6" s="1006">
        <f>F515CurrFY</f>
        <v>1050005</v>
      </c>
      <c r="O6" s="1007">
        <f>F515BudgFY</f>
        <v>1200000</v>
      </c>
    </row>
    <row r="7" spans="1:15" ht="10.5" customHeight="1">
      <c r="A7" s="1706" t="s">
        <v>316</v>
      </c>
      <c r="B7" s="1712"/>
      <c r="C7" s="22"/>
      <c r="D7" s="24"/>
      <c r="E7" s="279" t="s">
        <v>310</v>
      </c>
      <c r="F7" s="1706" t="s">
        <v>310</v>
      </c>
      <c r="G7" s="1707"/>
      <c r="H7" s="1708"/>
      <c r="I7" s="1709"/>
      <c r="J7" s="1709"/>
      <c r="K7" s="1709"/>
      <c r="L7" s="11"/>
      <c r="M7" s="998" t="s">
        <v>227</v>
      </c>
      <c r="N7" s="1006">
        <f>F520CurrFY</f>
        <v>4800000</v>
      </c>
      <c r="O7" s="1007">
        <f>F520BudgFY</f>
        <v>4900000</v>
      </c>
    </row>
    <row r="8" spans="1:15" ht="10.5" customHeight="1">
      <c r="A8" s="31"/>
      <c r="B8" s="32"/>
      <c r="C8" s="33" t="s">
        <v>564</v>
      </c>
      <c r="D8" s="34" t="s">
        <v>383</v>
      </c>
      <c r="E8" s="34" t="s">
        <v>566</v>
      </c>
      <c r="F8" s="1725" t="s">
        <v>564</v>
      </c>
      <c r="G8" s="1726"/>
      <c r="H8" s="1708"/>
      <c r="I8" s="1709"/>
      <c r="J8" s="1709"/>
      <c r="K8" s="1709"/>
      <c r="L8" s="11"/>
      <c r="M8" s="998" t="s">
        <v>105</v>
      </c>
      <c r="N8" s="1006">
        <f>F526CurrFY</f>
        <v>1879602</v>
      </c>
      <c r="O8" s="1007">
        <f>F526BudgFY</f>
        <v>1900000</v>
      </c>
    </row>
    <row r="9" spans="1:15" ht="12" customHeight="1">
      <c r="A9" s="662" t="s">
        <v>306</v>
      </c>
      <c r="B9" s="547"/>
      <c r="C9" s="662">
        <f>F001TotExpCurrFY</f>
        <v>209498796</v>
      </c>
      <c r="D9" s="662">
        <f>F001TotalExp</f>
        <v>208177511</v>
      </c>
      <c r="E9" s="549">
        <f aca="true" t="shared" si="0" ref="E9:E17">D9-C9</f>
        <v>-1321285</v>
      </c>
      <c r="F9" s="1713">
        <f aca="true" t="shared" si="1" ref="F9:F17">IF(C9=D9,0,IF(C9&gt;0,E9/C9,"--"))</f>
        <v>-0.006</v>
      </c>
      <c r="G9" s="1714"/>
      <c r="H9" s="1708"/>
      <c r="I9" s="1709"/>
      <c r="J9" s="1709"/>
      <c r="K9" s="1709"/>
      <c r="L9" s="1230"/>
      <c r="M9" s="998" t="s">
        <v>229</v>
      </c>
      <c r="N9" s="1006">
        <f>F530CurrFY</f>
        <v>600000</v>
      </c>
      <c r="O9" s="1007">
        <f>F530BudgFY</f>
        <v>650000</v>
      </c>
    </row>
    <row r="10" spans="1:15" ht="12" customHeight="1">
      <c r="A10" s="546" t="s">
        <v>66</v>
      </c>
      <c r="B10" s="547"/>
      <c r="C10" s="548">
        <f>F020TotCurrFY</f>
        <v>1420000</v>
      </c>
      <c r="D10" s="548">
        <f>F020TotBudgFY</f>
        <v>1500000</v>
      </c>
      <c r="E10" s="549">
        <f t="shared" si="0"/>
        <v>80000</v>
      </c>
      <c r="F10" s="1713">
        <f t="shared" si="1"/>
        <v>0.056</v>
      </c>
      <c r="G10" s="1714"/>
      <c r="H10" s="1708"/>
      <c r="I10" s="1709"/>
      <c r="J10" s="1709"/>
      <c r="K10" s="1709"/>
      <c r="L10" s="1230"/>
      <c r="M10" s="998" t="s">
        <v>103</v>
      </c>
      <c r="N10" s="1006">
        <f>F535CurrFY</f>
        <v>0</v>
      </c>
      <c r="O10" s="1007">
        <f>F535BudgFY</f>
        <v>0</v>
      </c>
    </row>
    <row r="11" spans="1:15" ht="12" customHeight="1">
      <c r="A11" s="546" t="s">
        <v>339</v>
      </c>
      <c r="B11" s="547"/>
      <c r="C11" s="548">
        <f>F071CurrFY</f>
        <v>0</v>
      </c>
      <c r="D11" s="344">
        <f>F071BudgFY</f>
        <v>259742</v>
      </c>
      <c r="E11" s="549">
        <f t="shared" si="0"/>
        <v>259742</v>
      </c>
      <c r="F11" s="1713" t="str">
        <f t="shared" si="1"/>
        <v>--</v>
      </c>
      <c r="G11" s="1714"/>
      <c r="H11" s="1708"/>
      <c r="I11" s="1709"/>
      <c r="J11" s="1709"/>
      <c r="K11" s="1709"/>
      <c r="L11" s="1230"/>
      <c r="M11" s="999" t="s">
        <v>26</v>
      </c>
      <c r="N11" s="1006">
        <f>F540CurrFY</f>
        <v>18000</v>
      </c>
      <c r="O11" s="1007">
        <f>F540BudgFY</f>
        <v>3500</v>
      </c>
    </row>
    <row r="12" spans="1:15" ht="12" customHeight="1">
      <c r="A12" s="546" t="s">
        <v>62</v>
      </c>
      <c r="B12" s="547"/>
      <c r="C12" s="548">
        <f>F072CurrFY</f>
        <v>0</v>
      </c>
      <c r="D12" s="344">
        <f>F072BudgFY</f>
        <v>0</v>
      </c>
      <c r="E12" s="1341">
        <f t="shared" si="0"/>
        <v>0</v>
      </c>
      <c r="F12" s="1719">
        <f t="shared" si="1"/>
        <v>0</v>
      </c>
      <c r="G12" s="1720"/>
      <c r="H12" s="1708"/>
      <c r="I12" s="1709"/>
      <c r="J12" s="1709"/>
      <c r="K12" s="1709"/>
      <c r="L12" s="1230"/>
      <c r="M12" s="999" t="s">
        <v>230</v>
      </c>
      <c r="N12" s="1006">
        <f>F545CurrFY</f>
        <v>0</v>
      </c>
      <c r="O12" s="1007">
        <f>F545BudgFY</f>
        <v>0</v>
      </c>
    </row>
    <row r="13" spans="1:15" ht="12" customHeight="1">
      <c r="A13" s="1718" t="s">
        <v>65</v>
      </c>
      <c r="B13" s="1718"/>
      <c r="C13" s="1342">
        <f>[2]!F010O6590BudgFY+TotClassSiteFundExpCurrFY</f>
        <v>14939378</v>
      </c>
      <c r="D13" s="1342">
        <f>TotClassSiteFundExpBudgFY+F010O6590BudgFY</f>
        <v>17349806</v>
      </c>
      <c r="E13" s="1341">
        <f t="shared" si="0"/>
        <v>2410428</v>
      </c>
      <c r="F13" s="1719">
        <f t="shared" si="1"/>
        <v>0.161</v>
      </c>
      <c r="G13" s="1720"/>
      <c r="H13" s="1708"/>
      <c r="I13" s="1709"/>
      <c r="J13" s="1709"/>
      <c r="K13" s="1709"/>
      <c r="L13" s="1230"/>
      <c r="M13" s="998" t="s">
        <v>231</v>
      </c>
      <c r="N13" s="1006">
        <f>F550CurrFY</f>
        <v>87057</v>
      </c>
      <c r="O13" s="1007">
        <f>F550BudgFY</f>
        <v>115000</v>
      </c>
    </row>
    <row r="14" spans="1:15" ht="12" customHeight="1">
      <c r="A14" s="35" t="s">
        <v>317</v>
      </c>
      <c r="B14" s="11"/>
      <c r="C14" s="811">
        <f>TotFedProjFundCurrFY</f>
        <v>11971805</v>
      </c>
      <c r="D14" s="811">
        <f>TotFedProjFundBudgFY</f>
        <v>16784072</v>
      </c>
      <c r="E14" s="811">
        <f t="shared" si="0"/>
        <v>4812267</v>
      </c>
      <c r="F14" s="1730">
        <f t="shared" si="1"/>
        <v>0.402</v>
      </c>
      <c r="G14" s="1731"/>
      <c r="H14" s="1708"/>
      <c r="I14" s="1709"/>
      <c r="J14" s="1709"/>
      <c r="K14" s="1709"/>
      <c r="L14" s="1230"/>
      <c r="M14" s="998" t="s">
        <v>232</v>
      </c>
      <c r="N14" s="1006">
        <f>F555CurrFY</f>
        <v>3216</v>
      </c>
      <c r="O14" s="1007">
        <f>F555BudgFY</f>
        <v>5000</v>
      </c>
    </row>
    <row r="15" spans="1:15" ht="12" customHeight="1">
      <c r="A15" s="36" t="s">
        <v>318</v>
      </c>
      <c r="B15" s="11"/>
      <c r="C15" s="344">
        <f>TotStateProjFundCurrFY</f>
        <v>356040</v>
      </c>
      <c r="D15" s="344">
        <f>TotStateProjFundBudgFY</f>
        <v>415365</v>
      </c>
      <c r="E15" s="344">
        <f t="shared" si="0"/>
        <v>59325</v>
      </c>
      <c r="F15" s="1704">
        <f t="shared" si="1"/>
        <v>0.167</v>
      </c>
      <c r="G15" s="1705"/>
      <c r="H15" s="1708"/>
      <c r="I15" s="1709"/>
      <c r="J15" s="1709"/>
      <c r="K15" s="1709"/>
      <c r="L15" s="1230"/>
      <c r="M15" s="998" t="s">
        <v>233</v>
      </c>
      <c r="N15" s="1006">
        <f>F565CurrFY</f>
        <v>10000</v>
      </c>
      <c r="O15" s="1007">
        <f>F565BudgFY</f>
        <v>10000</v>
      </c>
    </row>
    <row r="16" spans="1:15" ht="12" customHeight="1">
      <c r="A16" s="35" t="s">
        <v>362</v>
      </c>
      <c r="B16" s="11"/>
      <c r="C16" s="344">
        <f>F610TotalCurrFY</f>
        <v>6200000</v>
      </c>
      <c r="D16" s="344">
        <f>F610TotalBudgFY</f>
        <v>5059190</v>
      </c>
      <c r="E16" s="344">
        <f t="shared" si="0"/>
        <v>-1140810</v>
      </c>
      <c r="F16" s="1704">
        <f t="shared" si="1"/>
        <v>-0.184</v>
      </c>
      <c r="G16" s="1705"/>
      <c r="H16" s="11"/>
      <c r="I16" s="11"/>
      <c r="J16" s="11"/>
      <c r="K16" s="11"/>
      <c r="L16" s="11"/>
      <c r="M16" s="998" t="s">
        <v>235</v>
      </c>
      <c r="N16" s="1006">
        <f>F570CurrFY</f>
        <v>1000000</v>
      </c>
      <c r="O16" s="1007">
        <f>F570BudgFY</f>
        <v>1100000</v>
      </c>
    </row>
    <row r="17" spans="1:15" ht="12" customHeight="1">
      <c r="A17" s="35" t="s">
        <v>319</v>
      </c>
      <c r="B17" s="11"/>
      <c r="C17" s="344">
        <f>F695TotalCurrFY</f>
        <v>0</v>
      </c>
      <c r="D17" s="344">
        <f>F695TotalBudgFY</f>
        <v>0</v>
      </c>
      <c r="E17" s="344">
        <f t="shared" si="0"/>
        <v>0</v>
      </c>
      <c r="F17" s="1704">
        <f t="shared" si="1"/>
        <v>0</v>
      </c>
      <c r="G17" s="1705"/>
      <c r="H17" s="1709" t="str">
        <f>IF((F001P200Subtotal&gt;0)*AND(OR((SUM(I45+I46=0,(SUM(SPEDTeacher+SPEDStaff=0)))))),"Incomplete: Please complete the Special Education section of the Proposed Staffing Table below."," ")</f>
        <v> </v>
      </c>
      <c r="I17" s="1709"/>
      <c r="J17" s="1709"/>
      <c r="K17" s="1709"/>
      <c r="L17" s="1230"/>
      <c r="M17" s="998" t="s">
        <v>236</v>
      </c>
      <c r="N17" s="1006">
        <f>F575CurrFY</f>
        <v>13708</v>
      </c>
      <c r="O17" s="1007">
        <f>F575BudgFY</f>
        <v>5000</v>
      </c>
    </row>
    <row r="18" spans="1:15" ht="12" customHeight="1">
      <c r="A18" s="35" t="s">
        <v>320</v>
      </c>
      <c r="B18" s="11"/>
      <c r="C18" s="344">
        <f>F620TotalCurrFY</f>
        <v>0</v>
      </c>
      <c r="D18" s="344">
        <f>F620TotalBudgFY</f>
        <v>0</v>
      </c>
      <c r="E18" s="344">
        <f aca="true" t="shared" si="2" ref="E18:E24">D18-C18</f>
        <v>0</v>
      </c>
      <c r="F18" s="1704">
        <f aca="true" t="shared" si="3" ref="F18:F24">IF(C18=D18,0,IF(C18&gt;0,E18/C18,"--"))</f>
        <v>0</v>
      </c>
      <c r="G18" s="1705"/>
      <c r="H18" s="1709"/>
      <c r="I18" s="1709"/>
      <c r="J18" s="1709"/>
      <c r="K18" s="1709"/>
      <c r="L18" s="1230"/>
      <c r="M18" s="998" t="s">
        <v>238</v>
      </c>
      <c r="N18" s="1006">
        <f>F580CurrFY</f>
        <v>0</v>
      </c>
      <c r="O18" s="1007">
        <f>F580BudgFY</f>
        <v>0</v>
      </c>
    </row>
    <row r="19" spans="1:15" ht="12" customHeight="1">
      <c r="A19" s="35" t="s">
        <v>321</v>
      </c>
      <c r="B19" s="11"/>
      <c r="C19" s="344">
        <f>F700CurrFY</f>
        <v>22052676</v>
      </c>
      <c r="D19" s="344">
        <f>F700BudgFY</f>
        <v>20663044</v>
      </c>
      <c r="E19" s="344">
        <f t="shared" si="2"/>
        <v>-1389632</v>
      </c>
      <c r="F19" s="1704">
        <f t="shared" si="3"/>
        <v>-0.063</v>
      </c>
      <c r="G19" s="1705"/>
      <c r="H19" s="1709"/>
      <c r="I19" s="1709"/>
      <c r="J19" s="1709"/>
      <c r="K19" s="1709"/>
      <c r="L19" s="1230"/>
      <c r="M19" s="998" t="s">
        <v>239</v>
      </c>
      <c r="N19" s="1006">
        <f>F585CurrFY</f>
        <v>0</v>
      </c>
      <c r="O19" s="1007">
        <f>F585BudgFY</f>
        <v>0</v>
      </c>
    </row>
    <row r="20" spans="1:15" ht="12" customHeight="1">
      <c r="A20" s="1702" t="s">
        <v>609</v>
      </c>
      <c r="B20" s="1703"/>
      <c r="C20" s="344">
        <f>F500CurrFY</f>
        <v>160261</v>
      </c>
      <c r="D20" s="248">
        <f>F500BudgFY</f>
        <v>200000</v>
      </c>
      <c r="E20" s="248">
        <f t="shared" si="2"/>
        <v>39739</v>
      </c>
      <c r="F20" s="1734">
        <f t="shared" si="3"/>
        <v>0.248</v>
      </c>
      <c r="G20" s="1735"/>
      <c r="H20" s="1709"/>
      <c r="I20" s="1709"/>
      <c r="J20" s="1709"/>
      <c r="K20" s="1709"/>
      <c r="L20" s="1230"/>
      <c r="M20" s="999" t="s">
        <v>241</v>
      </c>
      <c r="N20" s="1006">
        <f>F590CurrFY</f>
        <v>0</v>
      </c>
      <c r="O20" s="1007">
        <f>F590BudgFY</f>
        <v>0</v>
      </c>
    </row>
    <row r="21" spans="1:15" ht="12" customHeight="1">
      <c r="A21" s="35" t="s">
        <v>322</v>
      </c>
      <c r="B21" s="11"/>
      <c r="C21" s="248">
        <f>F525CurrFY</f>
        <v>2500000</v>
      </c>
      <c r="D21" s="248">
        <f>F525BudgFY</f>
        <v>2600000</v>
      </c>
      <c r="E21" s="248">
        <f t="shared" si="2"/>
        <v>100000</v>
      </c>
      <c r="F21" s="1734">
        <f t="shared" si="3"/>
        <v>0.04</v>
      </c>
      <c r="G21" s="1735"/>
      <c r="H21" s="1709"/>
      <c r="I21" s="1709"/>
      <c r="J21" s="1709"/>
      <c r="K21" s="1709"/>
      <c r="L21" s="1230"/>
      <c r="M21" s="1000" t="s">
        <v>375</v>
      </c>
      <c r="N21" s="1006">
        <f>F595CurrFY</f>
        <v>0</v>
      </c>
      <c r="O21" s="1007">
        <f>F595BudgFY</f>
        <v>0</v>
      </c>
    </row>
    <row r="22" spans="1:15" ht="12" customHeight="1">
      <c r="A22" s="35" t="s">
        <v>323</v>
      </c>
      <c r="B22" s="11"/>
      <c r="C22" s="248">
        <f>F630TotalCurrFY</f>
        <v>31492768</v>
      </c>
      <c r="D22" s="248">
        <f>F630TotalBudgFY</f>
        <v>31320000</v>
      </c>
      <c r="E22" s="248">
        <f t="shared" si="2"/>
        <v>-172768</v>
      </c>
      <c r="F22" s="1734">
        <f t="shared" si="3"/>
        <v>-0.005</v>
      </c>
      <c r="G22" s="1735"/>
      <c r="H22" s="1709"/>
      <c r="I22" s="1709"/>
      <c r="J22" s="1709"/>
      <c r="K22" s="1709"/>
      <c r="L22" s="1230"/>
      <c r="M22" s="1000" t="s">
        <v>387</v>
      </c>
      <c r="N22" s="1006">
        <f>F596CurrFY</f>
        <v>4059100</v>
      </c>
      <c r="O22" s="1007">
        <f>F596BudgFY</f>
        <v>4600000</v>
      </c>
    </row>
    <row r="23" spans="1:15" ht="12" customHeight="1">
      <c r="A23" s="35" t="s">
        <v>33</v>
      </c>
      <c r="B23" s="11"/>
      <c r="C23" s="248">
        <f>F510CurrFY</f>
        <v>11585160</v>
      </c>
      <c r="D23" s="248">
        <f>F510BudgFY</f>
        <v>11816000</v>
      </c>
      <c r="E23" s="248">
        <f t="shared" si="2"/>
        <v>230840</v>
      </c>
      <c r="F23" s="1734">
        <f t="shared" si="3"/>
        <v>0.02</v>
      </c>
      <c r="G23" s="1735"/>
      <c r="H23" s="1709"/>
      <c r="I23" s="1709"/>
      <c r="J23" s="1709"/>
      <c r="K23" s="1709"/>
      <c r="L23" s="1230"/>
      <c r="M23" s="999" t="s">
        <v>67</v>
      </c>
      <c r="N23" s="1006">
        <f>F639CurrFY</f>
        <v>0</v>
      </c>
      <c r="O23" s="1007">
        <f>F639BudgFY</f>
        <v>0</v>
      </c>
    </row>
    <row r="24" spans="1:15" ht="12" customHeight="1">
      <c r="A24" s="811" t="s">
        <v>150</v>
      </c>
      <c r="B24" s="810"/>
      <c r="C24" s="344">
        <f>N35</f>
        <v>17390142</v>
      </c>
      <c r="D24" s="344">
        <f>O35</f>
        <v>18308500</v>
      </c>
      <c r="E24" s="344">
        <f t="shared" si="2"/>
        <v>918358</v>
      </c>
      <c r="F24" s="1704">
        <f t="shared" si="3"/>
        <v>0.053</v>
      </c>
      <c r="G24" s="1705"/>
      <c r="H24" s="1709"/>
      <c r="I24" s="1709"/>
      <c r="J24" s="1709"/>
      <c r="K24" s="1709"/>
      <c r="L24" s="11"/>
      <c r="M24" s="999" t="s">
        <v>499</v>
      </c>
      <c r="N24" s="1006">
        <f>F650CurrFY</f>
        <v>0</v>
      </c>
      <c r="O24" s="1007">
        <f>F650BudgFY</f>
        <v>0</v>
      </c>
    </row>
    <row r="25" spans="1:15" ht="12" customHeight="1">
      <c r="A25" s="11"/>
      <c r="B25" s="37"/>
      <c r="C25" s="11"/>
      <c r="D25" s="11"/>
      <c r="E25" s="11"/>
      <c r="F25" s="11"/>
      <c r="G25" s="11"/>
      <c r="H25" s="1709"/>
      <c r="I25" s="1709"/>
      <c r="J25" s="1709"/>
      <c r="K25" s="1709"/>
      <c r="L25" s="11"/>
      <c r="M25" s="999" t="s">
        <v>245</v>
      </c>
      <c r="N25" s="1006">
        <f>F660CurrFY</f>
        <v>0</v>
      </c>
      <c r="O25" s="1007">
        <f>F660BudgFY</f>
        <v>0</v>
      </c>
    </row>
    <row r="26" spans="1:15" ht="11.25" customHeight="1">
      <c r="A26" s="1699" t="s">
        <v>368</v>
      </c>
      <c r="B26" s="1700"/>
      <c r="C26" s="1700"/>
      <c r="D26" s="1700"/>
      <c r="E26" s="1701"/>
      <c r="F26" s="280"/>
      <c r="G26" s="11"/>
      <c r="H26" s="1709"/>
      <c r="I26" s="1709"/>
      <c r="J26" s="1709"/>
      <c r="K26" s="1709"/>
      <c r="L26" s="11"/>
      <c r="M26" s="1001" t="s">
        <v>217</v>
      </c>
      <c r="N26" s="1006">
        <f>F665CurrFY</f>
        <v>780242</v>
      </c>
      <c r="O26" s="1007">
        <f>F665BudgFY</f>
        <v>925000</v>
      </c>
    </row>
    <row r="27" spans="1:15" ht="12" customHeight="1" thickBot="1">
      <c r="A27" s="27" t="s">
        <v>487</v>
      </c>
      <c r="B27" s="27"/>
      <c r="C27" s="855"/>
      <c r="D27" s="34" t="s">
        <v>564</v>
      </c>
      <c r="E27" s="34" t="s">
        <v>383</v>
      </c>
      <c r="F27" s="277"/>
      <c r="G27" s="11"/>
      <c r="H27" s="41"/>
      <c r="I27" s="38"/>
      <c r="J27" s="38"/>
      <c r="K27" s="38"/>
      <c r="L27" s="11"/>
      <c r="M27" s="1002" t="s">
        <v>205</v>
      </c>
      <c r="N27" s="1006">
        <f>F686CurrFY</f>
        <v>0</v>
      </c>
      <c r="O27" s="1007">
        <f>F686BudgFY</f>
        <v>0</v>
      </c>
    </row>
    <row r="28" spans="1:15" ht="12" customHeight="1">
      <c r="A28" s="1274" t="s">
        <v>631</v>
      </c>
      <c r="B28" s="670"/>
      <c r="C28" s="547"/>
      <c r="D28" s="1227">
        <f>F001P200PYDisabilityTot</f>
        <v>36011946</v>
      </c>
      <c r="E28" s="1227">
        <f>F001P200Subtotal</f>
        <v>40481259</v>
      </c>
      <c r="F28" s="278"/>
      <c r="G28" s="39" t="s">
        <v>324</v>
      </c>
      <c r="H28" s="42"/>
      <c r="I28" s="42"/>
      <c r="J28" s="42"/>
      <c r="K28" s="43"/>
      <c r="L28" s="11"/>
      <c r="M28" s="1002" t="s">
        <v>391</v>
      </c>
      <c r="N28" s="1008">
        <f>F691CurrFY</f>
        <v>193396</v>
      </c>
      <c r="O28" s="1009">
        <f>F691BudgFY</f>
        <v>0</v>
      </c>
    </row>
    <row r="29" spans="1:15" ht="12" customHeight="1">
      <c r="A29" s="40" t="s">
        <v>207</v>
      </c>
      <c r="B29" s="17"/>
      <c r="C29" s="11"/>
      <c r="D29" s="811">
        <f>SPEDGiftedEdCurrFY</f>
        <v>1864386</v>
      </c>
      <c r="E29" s="811">
        <f>SPEDGiftedEdBudgFY</f>
        <v>2056139</v>
      </c>
      <c r="F29" s="278"/>
      <c r="G29" s="44"/>
      <c r="H29" s="45"/>
      <c r="I29" s="24"/>
      <c r="J29" s="1736" t="s">
        <v>325</v>
      </c>
      <c r="K29" s="1737"/>
      <c r="L29" s="11"/>
      <c r="M29" s="999" t="s">
        <v>68</v>
      </c>
      <c r="N29" s="1008">
        <f>F720CurrFY</f>
        <v>0</v>
      </c>
      <c r="O29" s="1009">
        <f>F720BudgFY</f>
        <v>0</v>
      </c>
    </row>
    <row r="30" spans="1:22" ht="12" customHeight="1">
      <c r="A30" s="40" t="s">
        <v>209</v>
      </c>
      <c r="B30" s="17"/>
      <c r="C30" s="11"/>
      <c r="D30" s="811">
        <f>SPEDRemedialEdCurrFY</f>
        <v>0</v>
      </c>
      <c r="E30" s="811">
        <f>SPEDRemedialEdBudgFY</f>
        <v>0</v>
      </c>
      <c r="F30" s="278"/>
      <c r="G30" s="27" t="s">
        <v>326</v>
      </c>
      <c r="H30" s="46"/>
      <c r="I30" s="973" t="s">
        <v>498</v>
      </c>
      <c r="J30" s="27" t="s">
        <v>327</v>
      </c>
      <c r="K30" s="47"/>
      <c r="L30" s="70"/>
      <c r="M30" s="1003" t="s">
        <v>573</v>
      </c>
      <c r="N30" s="1006">
        <f>OtherFundsCurrFY</f>
        <v>2711673</v>
      </c>
      <c r="O30" s="1007">
        <f>OtherFundsBudgFY</f>
        <v>2700000</v>
      </c>
      <c r="P30" s="1182"/>
      <c r="Q30" s="1183"/>
      <c r="R30" s="1183"/>
      <c r="S30" s="1183"/>
      <c r="T30" s="1183"/>
      <c r="U30" s="1183"/>
      <c r="V30" s="1122"/>
    </row>
    <row r="31" spans="1:21" ht="12" customHeight="1">
      <c r="A31" s="669" t="s">
        <v>252</v>
      </c>
      <c r="B31" s="670"/>
      <c r="C31" s="547"/>
      <c r="D31" s="811">
        <f>SPEDELLIncCostCurrFY</f>
        <v>151530</v>
      </c>
      <c r="E31" s="811">
        <f>SPEDELLIncCostBudgFY</f>
        <v>175000</v>
      </c>
      <c r="F31" s="278"/>
      <c r="G31" s="44" t="s">
        <v>328</v>
      </c>
      <c r="H31" s="17"/>
      <c r="I31" s="17"/>
      <c r="J31" s="48"/>
      <c r="K31" s="49"/>
      <c r="L31" s="70"/>
      <c r="M31" s="1004" t="s">
        <v>259</v>
      </c>
      <c r="N31" s="1006">
        <f>F9__SelfInsCurrFY</f>
        <v>0</v>
      </c>
      <c r="O31" s="1007">
        <f>F9__SelfInsBudgFY</f>
        <v>0</v>
      </c>
      <c r="P31" s="1182"/>
      <c r="Q31" s="1183"/>
      <c r="R31" s="1183"/>
      <c r="S31" s="1183"/>
      <c r="T31" s="1183"/>
      <c r="U31" s="1183"/>
    </row>
    <row r="32" spans="1:15" ht="12" customHeight="1">
      <c r="A32" s="669" t="s">
        <v>253</v>
      </c>
      <c r="B32" s="670"/>
      <c r="C32" s="547"/>
      <c r="D32" s="811">
        <f>SPEDELLCompInstrCurrFY</f>
        <v>0</v>
      </c>
      <c r="E32" s="811">
        <f>SPEDELLCompInstrBudgFY</f>
        <v>0</v>
      </c>
      <c r="F32" s="278"/>
      <c r="G32" s="40" t="s">
        <v>340</v>
      </c>
      <c r="H32" s="11"/>
      <c r="I32" s="1191"/>
      <c r="J32" s="1732" t="s">
        <v>341</v>
      </c>
      <c r="K32" s="1190"/>
      <c r="L32" s="70"/>
      <c r="M32" s="999" t="s">
        <v>444</v>
      </c>
      <c r="N32" s="1006">
        <f>F955CurrFY</f>
        <v>2372</v>
      </c>
      <c r="O32" s="1007">
        <f>F955BudgFY</f>
        <v>5000</v>
      </c>
    </row>
    <row r="33" spans="1:15" ht="12" customHeight="1">
      <c r="A33" s="40" t="s">
        <v>600</v>
      </c>
      <c r="B33" s="17"/>
      <c r="C33" s="11"/>
      <c r="D33" s="811">
        <f>SPEDVocTechEdCurrFY</f>
        <v>1994034</v>
      </c>
      <c r="E33" s="811">
        <f>SPEDVocTechEdBudgFY</f>
        <v>2199122</v>
      </c>
      <c r="F33" s="278"/>
      <c r="G33" s="50" t="s">
        <v>19</v>
      </c>
      <c r="H33" s="11"/>
      <c r="I33" s="1330">
        <v>83</v>
      </c>
      <c r="J33" s="1733"/>
      <c r="K33" s="1145">
        <f>IF(I33&gt;0,ROUND(BudgetYearADM/I33,1)," ")</f>
        <v>400.4</v>
      </c>
      <c r="L33" s="70"/>
      <c r="M33" s="1005" t="s">
        <v>386</v>
      </c>
      <c r="N33" s="1006">
        <f>F9__OPEBCurrFY</f>
        <v>0</v>
      </c>
      <c r="O33" s="1007">
        <f>F9__OPEBBudgFY</f>
        <v>0</v>
      </c>
    </row>
    <row r="34" spans="1:15" ht="12" customHeight="1">
      <c r="A34" s="40" t="s">
        <v>211</v>
      </c>
      <c r="B34" s="17"/>
      <c r="C34" s="11"/>
      <c r="D34" s="344">
        <f>SPEDCareerEdCurrFY</f>
        <v>128016</v>
      </c>
      <c r="E34" s="344">
        <f>SPEDCareerEdBudgFY</f>
        <v>151183</v>
      </c>
      <c r="F34" s="278"/>
      <c r="G34" s="40" t="s">
        <v>342</v>
      </c>
      <c r="H34" s="11"/>
      <c r="I34" s="71">
        <f>1860-22</f>
        <v>1838</v>
      </c>
      <c r="J34" s="51" t="s">
        <v>341</v>
      </c>
      <c r="K34" s="1145">
        <f>IF(I34&gt;0,ROUND(BudgetYearADM/I34,1)," ")</f>
        <v>18.1</v>
      </c>
      <c r="L34" s="70"/>
      <c r="M34" s="1004" t="s">
        <v>262</v>
      </c>
      <c r="N34" s="1006">
        <f>F9__OtherCurrFY</f>
        <v>181771</v>
      </c>
      <c r="O34" s="1007">
        <f>F9__OtherBudgFY</f>
        <v>190000</v>
      </c>
    </row>
    <row r="35" spans="1:15" ht="12" customHeight="1" thickBot="1">
      <c r="A35" s="1279" t="s">
        <v>744</v>
      </c>
      <c r="B35" s="1280"/>
      <c r="C35" s="11"/>
      <c r="D35" s="1281"/>
      <c r="E35" s="1278">
        <f>JTEDBudgFY</f>
        <v>0</v>
      </c>
      <c r="F35" s="278"/>
      <c r="G35" s="40" t="s">
        <v>150</v>
      </c>
      <c r="H35" s="11"/>
      <c r="I35" s="71">
        <v>154</v>
      </c>
      <c r="J35" s="51" t="s">
        <v>341</v>
      </c>
      <c r="K35" s="1145">
        <f>IF(I35&gt;0,ROUND(BudgetYearADM/I35,1)," ")</f>
        <v>215.8</v>
      </c>
      <c r="L35" s="70"/>
      <c r="M35" s="999" t="s">
        <v>575</v>
      </c>
      <c r="N35" s="1010">
        <f>SUM(N5:N34)</f>
        <v>17390142</v>
      </c>
      <c r="O35" s="1007">
        <f>SUM(O5:O34)</f>
        <v>18308500</v>
      </c>
    </row>
    <row r="36" spans="1:13" ht="12" customHeight="1" thickBot="1">
      <c r="A36" s="65" t="s">
        <v>493</v>
      </c>
      <c r="B36" s="48"/>
      <c r="C36" s="32"/>
      <c r="D36" s="1228">
        <f>SUM(D28:D34)</f>
        <v>40149912</v>
      </c>
      <c r="E36" s="1228">
        <f>IF(SUM(E28:E35)=F001P200TotBudgFY,SUM(E28:E35),"    INVALID")</f>
        <v>45062703</v>
      </c>
      <c r="F36" s="278"/>
      <c r="G36" s="52"/>
      <c r="H36" s="53" t="s">
        <v>343</v>
      </c>
      <c r="I36" s="73">
        <f>SUM(I32:I35)</f>
        <v>2075</v>
      </c>
      <c r="J36" s="51" t="s">
        <v>341</v>
      </c>
      <c r="K36" s="1145">
        <f>IF(I36&gt;0,ROUND(BudgetYearADM/I36,1)," ")</f>
        <v>16</v>
      </c>
      <c r="L36" s="70"/>
      <c r="M36" s="986"/>
    </row>
    <row r="37" spans="1:12" ht="12" customHeight="1" thickTop="1">
      <c r="A37" s="70"/>
      <c r="B37" s="70"/>
      <c r="C37" s="70"/>
      <c r="D37" s="70"/>
      <c r="E37" s="70"/>
      <c r="F37" s="278"/>
      <c r="G37" s="40" t="s">
        <v>344</v>
      </c>
      <c r="H37" s="17"/>
      <c r="I37" s="72"/>
      <c r="J37" s="54"/>
      <c r="K37" s="1145"/>
      <c r="L37" s="70"/>
    </row>
    <row r="38" spans="1:12" ht="12" customHeight="1">
      <c r="A38" s="41"/>
      <c r="B38" s="38"/>
      <c r="C38" s="66"/>
      <c r="D38" s="67"/>
      <c r="E38" s="67"/>
      <c r="F38" s="278"/>
      <c r="G38" s="40" t="s">
        <v>345</v>
      </c>
      <c r="H38" s="11"/>
      <c r="I38" s="1329">
        <v>111</v>
      </c>
      <c r="J38" s="55" t="s">
        <v>341</v>
      </c>
      <c r="K38" s="1145">
        <f>IF(I38&gt;0,ROUND(BudgetYearADM/I38,1)," ")</f>
        <v>299.4</v>
      </c>
      <c r="L38" s="70"/>
    </row>
    <row r="39" spans="1:12" ht="12" customHeight="1">
      <c r="A39" s="11"/>
      <c r="B39" s="11"/>
      <c r="C39" s="68"/>
      <c r="D39" s="15"/>
      <c r="E39" s="15"/>
      <c r="F39" s="278"/>
      <c r="G39" s="40" t="s">
        <v>346</v>
      </c>
      <c r="H39" s="11"/>
      <c r="I39" s="71">
        <v>503</v>
      </c>
      <c r="J39" s="51" t="s">
        <v>341</v>
      </c>
      <c r="K39" s="1145">
        <f>IF(I39&gt;0,ROUND(BudgetYearADM/I39,1)," ")</f>
        <v>66.1</v>
      </c>
      <c r="L39" s="70"/>
    </row>
    <row r="40" spans="1:12" ht="12" customHeight="1">
      <c r="A40" s="70"/>
      <c r="B40" s="70"/>
      <c r="C40" s="70"/>
      <c r="D40" s="70"/>
      <c r="E40" s="70"/>
      <c r="F40" s="278"/>
      <c r="G40" s="56" t="s">
        <v>150</v>
      </c>
      <c r="H40" s="11"/>
      <c r="I40" s="71">
        <v>1062</v>
      </c>
      <c r="J40" s="51" t="s">
        <v>341</v>
      </c>
      <c r="K40" s="1145">
        <f>IF(I40&gt;0,ROUND(BudgetYearADM/I40,1)," ")</f>
        <v>31.3</v>
      </c>
      <c r="L40" s="70"/>
    </row>
    <row r="41" spans="1:12" ht="12" customHeight="1">
      <c r="A41" s="70"/>
      <c r="B41" s="70"/>
      <c r="C41" s="70"/>
      <c r="D41" s="70"/>
      <c r="E41" s="70"/>
      <c r="F41" s="278"/>
      <c r="G41" s="57"/>
      <c r="H41" s="53" t="s">
        <v>343</v>
      </c>
      <c r="I41" s="73">
        <f>SUM(I38:I40)</f>
        <v>1676</v>
      </c>
      <c r="J41" s="51" t="s">
        <v>341</v>
      </c>
      <c r="K41" s="1145">
        <f>IF(I41&gt;0,ROUND(BudgetYearADM/I41,1)," ")</f>
        <v>19.8</v>
      </c>
      <c r="L41" s="70"/>
    </row>
    <row r="42" spans="1:12" ht="12" customHeight="1">
      <c r="A42" s="70"/>
      <c r="B42" s="70"/>
      <c r="C42" s="70"/>
      <c r="D42" s="70"/>
      <c r="E42" s="70"/>
      <c r="F42" s="278"/>
      <c r="G42" s="30"/>
      <c r="H42" s="58" t="s">
        <v>309</v>
      </c>
      <c r="I42" s="73">
        <f>I36+I41</f>
        <v>3751</v>
      </c>
      <c r="J42" s="51" t="s">
        <v>341</v>
      </c>
      <c r="K42" s="1145">
        <f>IF(I42&gt;0,ROUND(BudgetYearADM/I42,1)," ")</f>
        <v>8.9</v>
      </c>
      <c r="L42" s="70"/>
    </row>
    <row r="43" spans="1:12" ht="12" customHeight="1">
      <c r="A43" s="70"/>
      <c r="B43" s="70"/>
      <c r="C43" s="70"/>
      <c r="D43" s="70"/>
      <c r="E43" s="70"/>
      <c r="F43" s="278"/>
      <c r="G43" s="59"/>
      <c r="H43" s="60"/>
      <c r="I43" s="69"/>
      <c r="J43" s="11"/>
      <c r="K43" s="704"/>
      <c r="L43" s="70"/>
    </row>
    <row r="44" spans="6:12" ht="11.25">
      <c r="F44" s="38"/>
      <c r="G44" s="59" t="s">
        <v>347</v>
      </c>
      <c r="H44" s="60"/>
      <c r="I44" s="69"/>
      <c r="J44" s="11"/>
      <c r="K44" s="717"/>
      <c r="L44" s="70"/>
    </row>
    <row r="45" spans="6:12" ht="12" customHeight="1">
      <c r="F45" s="38"/>
      <c r="G45" s="59" t="s">
        <v>348</v>
      </c>
      <c r="H45" s="17"/>
      <c r="I45" s="466">
        <v>406</v>
      </c>
      <c r="J45" s="61" t="s">
        <v>349</v>
      </c>
      <c r="K45" s="716">
        <v>11.6</v>
      </c>
      <c r="L45" s="70"/>
    </row>
    <row r="46" spans="6:12" ht="12" customHeight="1">
      <c r="F46" s="38"/>
      <c r="G46" s="62" t="s">
        <v>350</v>
      </c>
      <c r="H46" s="63"/>
      <c r="I46" s="466">
        <v>559</v>
      </c>
      <c r="J46" s="61" t="s">
        <v>349</v>
      </c>
      <c r="K46" s="391">
        <v>8.4</v>
      </c>
      <c r="L46" s="70"/>
    </row>
    <row r="47" spans="6:12" ht="12" customHeight="1">
      <c r="F47" s="38"/>
      <c r="G47" s="41"/>
      <c r="H47" s="66"/>
      <c r="I47" s="60"/>
      <c r="J47" s="648"/>
      <c r="K47" s="649"/>
      <c r="L47" s="70"/>
    </row>
    <row r="48" spans="6:12" ht="12" customHeight="1">
      <c r="F48" s="38"/>
      <c r="G48" s="11"/>
      <c r="H48" s="70"/>
      <c r="I48" s="70"/>
      <c r="J48" s="70"/>
      <c r="K48" s="70"/>
      <c r="L48" s="70"/>
    </row>
    <row r="49" spans="6:12" ht="12" customHeight="1">
      <c r="F49" s="38"/>
      <c r="G49" s="11"/>
      <c r="H49" s="64"/>
      <c r="I49" s="11"/>
      <c r="J49" s="11"/>
      <c r="K49" s="11"/>
      <c r="L49" s="70"/>
    </row>
    <row r="50" spans="6:13" ht="12" customHeight="1">
      <c r="F50" s="38"/>
      <c r="G50" s="11"/>
      <c r="H50" s="11"/>
      <c r="I50" s="11"/>
      <c r="J50" s="11"/>
      <c r="K50" s="11"/>
      <c r="L50" s="70"/>
      <c r="M50" s="70"/>
    </row>
    <row r="51" spans="6:13" ht="11.25">
      <c r="F51" s="38"/>
      <c r="G51" s="11"/>
      <c r="H51" s="11"/>
      <c r="I51" s="11"/>
      <c r="J51" s="11"/>
      <c r="K51" s="11"/>
      <c r="L51" s="70"/>
      <c r="M51" s="70"/>
    </row>
    <row r="52" spans="6:13" ht="11.25">
      <c r="F52" s="70"/>
      <c r="G52" s="15"/>
      <c r="H52" s="11"/>
      <c r="I52" s="11"/>
      <c r="J52" s="11"/>
      <c r="K52" s="11"/>
      <c r="L52" s="11"/>
      <c r="M52" s="70"/>
    </row>
    <row r="53" spans="6:13" ht="11.25">
      <c r="F53" s="67"/>
      <c r="G53" s="70"/>
      <c r="H53" s="15"/>
      <c r="I53" s="15"/>
      <c r="J53" s="15"/>
      <c r="K53" s="15"/>
      <c r="L53" s="11"/>
      <c r="M53" s="70"/>
    </row>
    <row r="54" spans="6:13" ht="11.25">
      <c r="F54" s="15"/>
      <c r="G54" s="70"/>
      <c r="H54" s="70"/>
      <c r="I54" s="70"/>
      <c r="J54" s="70"/>
      <c r="K54" s="70"/>
      <c r="L54" s="11"/>
      <c r="M54" s="70"/>
    </row>
    <row r="55" spans="6:12" ht="11.25">
      <c r="F55" s="70"/>
      <c r="G55" s="70"/>
      <c r="H55" s="70"/>
      <c r="I55" s="70"/>
      <c r="J55" s="70"/>
      <c r="K55" s="70"/>
      <c r="L55" s="69"/>
    </row>
    <row r="56" spans="6:12" ht="11.25">
      <c r="F56" s="70"/>
      <c r="G56" s="70"/>
      <c r="H56" s="70"/>
      <c r="I56" s="70"/>
      <c r="J56" s="70"/>
      <c r="K56" s="70"/>
      <c r="L56" s="70"/>
    </row>
    <row r="57" spans="6:12" ht="11.25">
      <c r="F57" s="70"/>
      <c r="L57" s="70"/>
    </row>
    <row r="58" spans="6:12" ht="11.25">
      <c r="F58" s="70"/>
      <c r="L58" s="70"/>
    </row>
    <row r="59" ht="11.25">
      <c r="L59" s="70"/>
    </row>
  </sheetData>
  <sheetProtection sheet="1" formatCells="0" formatColumns="0" formatRows="0"/>
  <mergeCells count="33">
    <mergeCell ref="J32:J33"/>
    <mergeCell ref="F23:G23"/>
    <mergeCell ref="J29:K29"/>
    <mergeCell ref="F24:G24"/>
    <mergeCell ref="F21:G21"/>
    <mergeCell ref="F19:G19"/>
    <mergeCell ref="H17:K26"/>
    <mergeCell ref="F20:G20"/>
    <mergeCell ref="F22:G22"/>
    <mergeCell ref="M1:O3"/>
    <mergeCell ref="J1:K1"/>
    <mergeCell ref="F8:G8"/>
    <mergeCell ref="A1:G1"/>
    <mergeCell ref="J2:K2"/>
    <mergeCell ref="F15:G15"/>
    <mergeCell ref="F7:G7"/>
    <mergeCell ref="F12:G12"/>
    <mergeCell ref="F14:G14"/>
    <mergeCell ref="F10:G10"/>
    <mergeCell ref="H5:K15"/>
    <mergeCell ref="F5:G5"/>
    <mergeCell ref="A7:B7"/>
    <mergeCell ref="F9:G9"/>
    <mergeCell ref="A4:G4"/>
    <mergeCell ref="F11:G11"/>
    <mergeCell ref="A13:B13"/>
    <mergeCell ref="F13:G13"/>
    <mergeCell ref="A26:E26"/>
    <mergeCell ref="A20:B20"/>
    <mergeCell ref="F17:G17"/>
    <mergeCell ref="F16:G16"/>
    <mergeCell ref="F18:G18"/>
    <mergeCell ref="F6:G6"/>
  </mergeCells>
  <printOptions horizontalCentered="1"/>
  <pageMargins left="0.25" right="0.25" top="0.25" bottom="0.25" header="0" footer="0.25"/>
  <pageSetup fitToHeight="1" fitToWidth="1" horizontalDpi="600" verticalDpi="600" orientation="landscape" paperSize="5" scale="92"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Q33" sqref="Q33"/>
    </sheetView>
  </sheetViews>
  <sheetFormatPr defaultColWidth="8.77734375" defaultRowHeight="15"/>
  <cols>
    <col min="1" max="1" width="3.99609375" style="340" customWidth="1"/>
    <col min="2" max="2" width="1.5625" style="340" customWidth="1"/>
    <col min="3" max="3" width="1.77734375" style="340" customWidth="1"/>
    <col min="4" max="4" width="7.5546875" style="340" customWidth="1"/>
    <col min="5" max="5" width="27.4453125" style="340" customWidth="1"/>
    <col min="6" max="6" width="1.4375" style="340" customWidth="1"/>
    <col min="7" max="7" width="10.21484375" style="340" customWidth="1"/>
    <col min="8" max="8" width="2.77734375" style="340" customWidth="1"/>
    <col min="9" max="9" width="10.21484375" style="340" customWidth="1"/>
    <col min="10" max="10" width="3.21484375" style="340" customWidth="1"/>
    <col min="11" max="11" width="2.77734375" style="340" customWidth="1"/>
    <col min="12" max="12" width="10.21484375" style="340" customWidth="1"/>
    <col min="13" max="13" width="3.77734375" style="340" customWidth="1"/>
    <col min="14" max="14" width="6.4453125" style="340" customWidth="1"/>
    <col min="15" max="16384" width="8.77734375" style="340" customWidth="1"/>
  </cols>
  <sheetData>
    <row r="1" spans="1:15" ht="15" customHeight="1">
      <c r="A1" s="93" t="s">
        <v>139</v>
      </c>
      <c r="B1" s="375"/>
      <c r="C1" s="350"/>
      <c r="E1" s="1746" t="str">
        <f>Cover!C1</f>
        <v>Gilbert Public Schools</v>
      </c>
      <c r="F1" s="1746"/>
      <c r="G1" s="1746"/>
      <c r="H1" s="375"/>
      <c r="I1" s="1405" t="s">
        <v>141</v>
      </c>
      <c r="J1" s="1747"/>
      <c r="K1" s="1747"/>
      <c r="L1" s="554" t="str">
        <f>Cover!Q1</f>
        <v>070241000</v>
      </c>
      <c r="M1" s="350"/>
      <c r="O1" s="86"/>
    </row>
    <row r="2" spans="1:15" ht="14.25" customHeight="1">
      <c r="A2" s="350"/>
      <c r="B2" s="350"/>
      <c r="C2" s="128"/>
      <c r="D2" s="128"/>
      <c r="E2" s="266"/>
      <c r="F2" s="266"/>
      <c r="G2" s="266"/>
      <c r="H2" s="266"/>
      <c r="I2" s="128"/>
      <c r="J2" s="557"/>
      <c r="K2" s="637" t="s">
        <v>172</v>
      </c>
      <c r="L2" s="644" t="str">
        <f>Cover!C8</f>
        <v>Revised #2</v>
      </c>
      <c r="M2" s="350"/>
      <c r="N2" s="341"/>
      <c r="O2" s="86"/>
    </row>
    <row r="3" spans="1:14" ht="15">
      <c r="A3" s="377" t="s">
        <v>653</v>
      </c>
      <c r="B3" s="378"/>
      <c r="C3" s="378"/>
      <c r="D3" s="378"/>
      <c r="E3" s="677"/>
      <c r="F3" s="677"/>
      <c r="G3" s="378"/>
      <c r="H3" s="378"/>
      <c r="I3" s="378"/>
      <c r="J3" s="378"/>
      <c r="K3" s="378"/>
      <c r="L3" s="378"/>
      <c r="M3" s="378"/>
      <c r="N3" s="342"/>
    </row>
    <row r="4" spans="1:14" ht="8.25" customHeight="1">
      <c r="A4" s="377"/>
      <c r="B4" s="378"/>
      <c r="C4" s="378"/>
      <c r="D4" s="378"/>
      <c r="E4" s="378"/>
      <c r="F4" s="378"/>
      <c r="G4" s="378"/>
      <c r="H4" s="378"/>
      <c r="I4" s="378"/>
      <c r="J4" s="378"/>
      <c r="K4" s="378"/>
      <c r="L4" s="378"/>
      <c r="M4" s="378"/>
      <c r="N4" s="342"/>
    </row>
    <row r="5" spans="1:14" ht="13.5" customHeight="1">
      <c r="A5" s="838" t="s">
        <v>118</v>
      </c>
      <c r="B5" s="378"/>
      <c r="C5" s="1744" t="s">
        <v>677</v>
      </c>
      <c r="D5" s="1744"/>
      <c r="E5" s="1744"/>
      <c r="F5" s="1744"/>
      <c r="G5" s="1744"/>
      <c r="H5" s="376" t="s">
        <v>128</v>
      </c>
      <c r="I5" s="616">
        <f>'[2]Truth in Tax'!$I$7+'[2]Truth in Tax'!$I$25</f>
        <v>0</v>
      </c>
      <c r="J5" s="378"/>
      <c r="K5" s="378"/>
      <c r="L5" s="378"/>
      <c r="M5" s="378"/>
      <c r="N5" s="342"/>
    </row>
    <row r="6" spans="1:14" ht="12" customHeight="1">
      <c r="A6" s="838" t="s">
        <v>120</v>
      </c>
      <c r="B6" s="378"/>
      <c r="C6" s="576" t="s">
        <v>516</v>
      </c>
      <c r="D6" s="576"/>
      <c r="E6" s="576"/>
      <c r="F6" s="1745">
        <f>IF(SUM(I11:I14)=0,IF(I7&gt;0,"No budget for 2015
Click here for Instructions",""),"")</f>
      </c>
      <c r="G6" s="1745"/>
      <c r="H6" s="376"/>
      <c r="I6" s="333"/>
      <c r="J6" s="378"/>
      <c r="K6" s="378"/>
      <c r="L6" s="378"/>
      <c r="M6" s="378"/>
      <c r="N6" s="342"/>
    </row>
    <row r="7" spans="1:14" ht="12" customHeight="1" thickBot="1">
      <c r="A7" s="379" t="s">
        <v>127</v>
      </c>
      <c r="B7" s="378"/>
      <c r="C7" s="576" t="s">
        <v>654</v>
      </c>
      <c r="D7" s="576"/>
      <c r="E7" s="576"/>
      <c r="F7" s="1745"/>
      <c r="G7" s="1745"/>
      <c r="H7" s="376" t="s">
        <v>128</v>
      </c>
      <c r="I7" s="1282">
        <f>I5-I6</f>
        <v>0</v>
      </c>
      <c r="J7" s="378"/>
      <c r="K7" s="378"/>
      <c r="L7" s="378"/>
      <c r="M7" s="378"/>
      <c r="N7" s="342"/>
    </row>
    <row r="8" spans="1:14" ht="13.5" customHeight="1" thickTop="1">
      <c r="A8" s="379"/>
      <c r="B8" s="350"/>
      <c r="C8" s="688"/>
      <c r="D8" s="688"/>
      <c r="E8" s="688"/>
      <c r="F8" s="1745"/>
      <c r="G8" s="1745"/>
      <c r="H8" s="376"/>
      <c r="I8" s="388"/>
      <c r="J8" s="350"/>
      <c r="K8" s="1748" t="s">
        <v>39</v>
      </c>
      <c r="L8" s="1748"/>
      <c r="M8" s="1748"/>
      <c r="N8" s="939"/>
    </row>
    <row r="9" spans="1:14" ht="13.5" customHeight="1">
      <c r="A9" s="687" t="s">
        <v>655</v>
      </c>
      <c r="B9" s="350"/>
      <c r="D9" s="687"/>
      <c r="E9" s="516"/>
      <c r="F9" s="516"/>
      <c r="G9" s="516"/>
      <c r="H9" s="350"/>
      <c r="I9" s="382"/>
      <c r="J9" s="377"/>
      <c r="K9" s="1748"/>
      <c r="L9" s="1748"/>
      <c r="M9" s="1748"/>
      <c r="N9" s="939"/>
    </row>
    <row r="10" spans="1:14" ht="7.5" customHeight="1">
      <c r="A10" s="376"/>
      <c r="B10" s="350"/>
      <c r="C10" s="516"/>
      <c r="D10" s="516"/>
      <c r="E10" s="516"/>
      <c r="F10" s="516"/>
      <c r="G10" s="516"/>
      <c r="H10" s="350"/>
      <c r="I10" s="382"/>
      <c r="J10" s="377"/>
      <c r="K10" s="1748"/>
      <c r="L10" s="1748"/>
      <c r="M10" s="1748"/>
      <c r="N10" s="939"/>
    </row>
    <row r="11" spans="1:14" ht="24.75" customHeight="1">
      <c r="A11" s="779" t="s">
        <v>131</v>
      </c>
      <c r="B11" s="350"/>
      <c r="C11" s="1749" t="s">
        <v>401</v>
      </c>
      <c r="D11" s="1749"/>
      <c r="E11" s="1749"/>
      <c r="F11" s="653"/>
      <c r="G11" s="653"/>
      <c r="H11" s="654" t="s">
        <v>128</v>
      </c>
      <c r="I11" s="616">
        <f>'[3]Districtwide'!$L$66+'[3]Districtwide'!$L$120</f>
        <v>0</v>
      </c>
      <c r="J11" s="350"/>
      <c r="K11" s="376"/>
      <c r="L11" s="618">
        <f>IF(ISERROR(I11/$I$35),"",I11/$I$35)</f>
      </c>
      <c r="M11" s="350"/>
      <c r="N11" s="342"/>
    </row>
    <row r="12" spans="1:14" ht="13.5" customHeight="1">
      <c r="A12" s="780" t="s">
        <v>132</v>
      </c>
      <c r="B12" s="350"/>
      <c r="C12" s="350" t="s">
        <v>732</v>
      </c>
      <c r="D12" s="350"/>
      <c r="E12" s="516"/>
      <c r="F12" s="350"/>
      <c r="G12" s="350"/>
      <c r="H12" s="376"/>
      <c r="I12" s="621">
        <f>F001P530</f>
        <v>0</v>
      </c>
      <c r="J12" s="350"/>
      <c r="K12" s="376"/>
      <c r="L12" s="618">
        <f>IF(ISERROR(I12/$I$35),"",I12/$I$35)</f>
      </c>
      <c r="M12" s="350"/>
      <c r="N12" s="342"/>
    </row>
    <row r="13" spans="1:14" ht="13.5" customHeight="1">
      <c r="A13" s="780" t="s">
        <v>133</v>
      </c>
      <c r="B13" s="350"/>
      <c r="C13" s="1750" t="s">
        <v>716</v>
      </c>
      <c r="D13" s="1750"/>
      <c r="E13" s="1750"/>
      <c r="F13" s="1750"/>
      <c r="G13" s="1750"/>
      <c r="H13" s="376"/>
      <c r="I13" s="895">
        <v>0</v>
      </c>
      <c r="J13" s="350"/>
      <c r="K13" s="376"/>
      <c r="L13" s="618">
        <f>IF(ISERROR(I13/$I$35),"",I13/$I$35)</f>
      </c>
      <c r="M13" s="350"/>
      <c r="N13" s="342"/>
    </row>
    <row r="14" spans="1:14" ht="13.5" customHeight="1">
      <c r="A14" s="780" t="s">
        <v>134</v>
      </c>
      <c r="B14" s="350"/>
      <c r="C14" s="350" t="s">
        <v>82</v>
      </c>
      <c r="D14" s="350"/>
      <c r="E14" s="350"/>
      <c r="F14" s="350"/>
      <c r="G14" s="350"/>
      <c r="H14" s="376" t="s">
        <v>128</v>
      </c>
      <c r="I14" s="620">
        <f>SSA_MO+SSA_UCO</f>
        <v>0</v>
      </c>
      <c r="J14" s="350"/>
      <c r="K14" s="376"/>
      <c r="L14" s="618">
        <f>IF(ISERROR(I14/$I$35),"",I14/$I$35)</f>
      </c>
      <c r="M14" s="350"/>
      <c r="N14" s="342"/>
    </row>
    <row r="15" spans="1:14" ht="20.25" customHeight="1">
      <c r="A15" s="940" t="s">
        <v>682</v>
      </c>
      <c r="B15" s="350"/>
      <c r="D15" s="350"/>
      <c r="E15" s="350"/>
      <c r="F15" s="350"/>
      <c r="G15" s="350"/>
      <c r="H15" s="376"/>
      <c r="I15" s="941"/>
      <c r="J15" s="350"/>
      <c r="K15" s="376"/>
      <c r="L15" s="942"/>
      <c r="M15" s="350"/>
      <c r="N15" s="342"/>
    </row>
    <row r="16" spans="1:14" ht="24" customHeight="1">
      <c r="A16" s="779" t="s">
        <v>176</v>
      </c>
      <c r="B16" s="350"/>
      <c r="C16" s="1742" t="s">
        <v>517</v>
      </c>
      <c r="D16" s="1742"/>
      <c r="E16" s="1742"/>
      <c r="F16" s="1742"/>
      <c r="G16" s="1742"/>
      <c r="H16" s="376"/>
      <c r="I16" s="943"/>
      <c r="J16" s="350"/>
      <c r="K16" s="376"/>
      <c r="L16" s="942"/>
      <c r="M16" s="350"/>
      <c r="N16" s="342"/>
    </row>
    <row r="17" spans="1:11" ht="13.5" customHeight="1">
      <c r="A17" s="779"/>
      <c r="B17" s="350"/>
      <c r="C17" s="965" t="s">
        <v>518</v>
      </c>
      <c r="D17" s="385" t="s">
        <v>678</v>
      </c>
      <c r="E17" s="966"/>
      <c r="F17" s="966" t="s">
        <v>128</v>
      </c>
      <c r="G17" s="971"/>
      <c r="H17" s="376"/>
      <c r="I17" s="943"/>
      <c r="J17" s="350"/>
      <c r="K17" s="376"/>
    </row>
    <row r="18" spans="1:14" ht="25.5" customHeight="1">
      <c r="A18" s="779"/>
      <c r="B18" s="350"/>
      <c r="C18" s="385" t="s">
        <v>519</v>
      </c>
      <c r="D18" s="1487" t="s">
        <v>679</v>
      </c>
      <c r="E18" s="1487"/>
      <c r="F18" s="968"/>
      <c r="G18" s="895">
        <f>SUM('[2]Truth in Tax'!$I$11:$I$13)</f>
        <v>0</v>
      </c>
      <c r="H18" s="376"/>
      <c r="I18" s="943"/>
      <c r="J18" s="350"/>
      <c r="K18" s="376"/>
      <c r="L18" s="942"/>
      <c r="M18" s="350"/>
      <c r="N18" s="342"/>
    </row>
    <row r="19" spans="1:11" ht="13.5" customHeight="1">
      <c r="A19" s="780"/>
      <c r="B19" s="350"/>
      <c r="C19" s="385" t="s">
        <v>520</v>
      </c>
      <c r="D19" s="1743" t="s">
        <v>521</v>
      </c>
      <c r="E19" s="1743"/>
      <c r="F19" s="1743"/>
      <c r="G19" s="1743"/>
      <c r="H19" s="654" t="s">
        <v>128</v>
      </c>
      <c r="I19" s="895">
        <f>IF(G17&lt;&gt;0,G17-G18,0)</f>
        <v>0</v>
      </c>
      <c r="J19" s="350"/>
      <c r="K19" s="376"/>
    </row>
    <row r="20" spans="1:11" ht="13.5" customHeight="1">
      <c r="A20" s="780" t="s">
        <v>177</v>
      </c>
      <c r="B20" s="350"/>
      <c r="C20" s="350" t="s">
        <v>522</v>
      </c>
      <c r="D20" s="667"/>
      <c r="E20" s="667"/>
      <c r="F20" s="667"/>
      <c r="G20" s="667"/>
      <c r="H20" s="654"/>
      <c r="I20" s="944"/>
      <c r="J20" s="350"/>
      <c r="K20" s="376"/>
    </row>
    <row r="21" spans="1:14" ht="13.5" customHeight="1">
      <c r="A21" s="780"/>
      <c r="B21" s="350"/>
      <c r="C21" s="350" t="s">
        <v>518</v>
      </c>
      <c r="D21" s="576" t="s">
        <v>680</v>
      </c>
      <c r="E21" s="654"/>
      <c r="F21" s="654" t="s">
        <v>128</v>
      </c>
      <c r="G21" s="971"/>
      <c r="H21" s="376"/>
      <c r="I21" s="945"/>
      <c r="J21" s="350"/>
      <c r="K21" s="376"/>
      <c r="L21" s="350"/>
      <c r="M21" s="350"/>
      <c r="N21" s="342"/>
    </row>
    <row r="22" spans="1:14" ht="24" customHeight="1">
      <c r="A22" s="779"/>
      <c r="B22" s="350"/>
      <c r="C22" s="385" t="s">
        <v>519</v>
      </c>
      <c r="D22" s="1744" t="s">
        <v>681</v>
      </c>
      <c r="E22" s="1744"/>
      <c r="F22" s="967" t="s">
        <v>128</v>
      </c>
      <c r="G22" s="616">
        <f>'[2]Truth in Tax'!$I$14</f>
        <v>0</v>
      </c>
      <c r="H22" s="376"/>
      <c r="I22" s="945"/>
      <c r="J22" s="350"/>
      <c r="K22" s="376"/>
      <c r="L22" s="350"/>
      <c r="M22" s="350"/>
      <c r="N22" s="342"/>
    </row>
    <row r="23" spans="1:14" ht="25.5" customHeight="1">
      <c r="A23" s="780"/>
      <c r="B23" s="350"/>
      <c r="C23" s="385" t="s">
        <v>520</v>
      </c>
      <c r="D23" s="1744" t="s">
        <v>523</v>
      </c>
      <c r="E23" s="1744"/>
      <c r="F23" s="967"/>
      <c r="G23" s="576"/>
      <c r="H23" s="376" t="s">
        <v>128</v>
      </c>
      <c r="I23" s="1123">
        <f>IF(G21&lt;&gt;0,G21-G22,0)</f>
        <v>0</v>
      </c>
      <c r="J23" s="350"/>
      <c r="K23" s="376"/>
      <c r="L23" s="350"/>
      <c r="M23" s="350"/>
      <c r="N23" s="342"/>
    </row>
    <row r="24" spans="1:14" ht="13.5" customHeight="1" thickBot="1">
      <c r="A24" s="780" t="s">
        <v>178</v>
      </c>
      <c r="B24" s="350"/>
      <c r="C24" s="350" t="s">
        <v>524</v>
      </c>
      <c r="D24" s="350"/>
      <c r="E24" s="350"/>
      <c r="F24" s="350"/>
      <c r="G24" s="350"/>
      <c r="H24" s="376" t="s">
        <v>128</v>
      </c>
      <c r="I24" s="1124">
        <f>SUM(I11:I14)+I19+I23</f>
        <v>0</v>
      </c>
      <c r="J24" s="350"/>
      <c r="K24" s="350"/>
      <c r="L24" s="383"/>
      <c r="M24" s="350"/>
      <c r="N24" s="342"/>
    </row>
    <row r="25" spans="1:14" ht="13.5" customHeight="1" thickTop="1">
      <c r="A25" s="780" t="s">
        <v>179</v>
      </c>
      <c r="B25" s="350"/>
      <c r="C25" s="350" t="s">
        <v>432</v>
      </c>
      <c r="D25" s="350"/>
      <c r="E25" s="350"/>
      <c r="F25" s="350"/>
      <c r="G25" s="350"/>
      <c r="H25" s="350"/>
      <c r="I25" s="1751">
        <f>IF(I24-I7&gt;0,I24-I7,0)</f>
        <v>0</v>
      </c>
      <c r="J25" s="350"/>
      <c r="K25" s="350"/>
      <c r="L25" s="383"/>
      <c r="M25" s="350"/>
      <c r="N25" s="342"/>
    </row>
    <row r="26" spans="1:14" ht="13.5" customHeight="1" thickBot="1">
      <c r="A26" s="379"/>
      <c r="B26" s="350"/>
      <c r="C26" s="350" t="s">
        <v>525</v>
      </c>
      <c r="D26" s="350"/>
      <c r="E26" s="350"/>
      <c r="F26" s="350"/>
      <c r="G26" s="350"/>
      <c r="H26" s="376" t="s">
        <v>128</v>
      </c>
      <c r="I26" s="1752"/>
      <c r="J26" s="350"/>
      <c r="K26" s="350"/>
      <c r="L26" s="383"/>
      <c r="M26" s="350"/>
      <c r="N26" s="342"/>
    </row>
    <row r="27" spans="1:14" ht="6.75" customHeight="1" thickTop="1">
      <c r="A27" s="379"/>
      <c r="B27" s="350"/>
      <c r="C27" s="350"/>
      <c r="D27" s="350"/>
      <c r="E27" s="350"/>
      <c r="F27" s="350"/>
      <c r="G27" s="350"/>
      <c r="H27" s="350"/>
      <c r="I27" s="382"/>
      <c r="J27" s="350"/>
      <c r="K27" s="350"/>
      <c r="L27" s="383"/>
      <c r="M27" s="350"/>
      <c r="N27" s="342"/>
    </row>
    <row r="28" spans="1:14" ht="13.5" customHeight="1">
      <c r="A28" s="780" t="s">
        <v>180</v>
      </c>
      <c r="B28" s="350"/>
      <c r="C28" s="516" t="s">
        <v>788</v>
      </c>
      <c r="D28" s="516"/>
      <c r="E28" s="516"/>
      <c r="F28" s="516"/>
      <c r="G28" s="350"/>
      <c r="H28" s="350"/>
      <c r="I28" s="381"/>
      <c r="J28" s="350"/>
      <c r="K28" s="350"/>
      <c r="L28" s="383"/>
      <c r="M28" s="350"/>
      <c r="N28" s="342"/>
    </row>
    <row r="29" spans="1:14" ht="12" customHeight="1">
      <c r="A29" s="376"/>
      <c r="B29" s="350"/>
      <c r="C29" s="350" t="s">
        <v>789</v>
      </c>
      <c r="D29" s="350"/>
      <c r="E29" s="516"/>
      <c r="F29" s="516"/>
      <c r="G29" s="350"/>
      <c r="H29" s="376" t="s">
        <v>128</v>
      </c>
      <c r="I29" s="617">
        <f>AdjWaysLevy</f>
        <v>0</v>
      </c>
      <c r="J29" s="350"/>
      <c r="K29" s="376"/>
      <c r="L29" s="618">
        <f>IF(ISERROR(I29/$I$35),"",I29/$I$35)</f>
      </c>
      <c r="M29" s="350"/>
      <c r="N29" s="342"/>
    </row>
    <row r="30" spans="1:14" ht="13.5" customHeight="1">
      <c r="A30" s="780" t="s">
        <v>181</v>
      </c>
      <c r="B30" s="350"/>
      <c r="C30" s="350" t="s">
        <v>787</v>
      </c>
      <c r="D30" s="350"/>
      <c r="E30" s="516"/>
      <c r="F30" s="516"/>
      <c r="G30" s="350"/>
      <c r="H30" s="350"/>
      <c r="I30" s="622"/>
      <c r="J30" s="350"/>
      <c r="K30" s="350"/>
      <c r="L30" s="619"/>
      <c r="M30" s="350"/>
      <c r="N30" s="342"/>
    </row>
    <row r="31" spans="1:14" ht="12" customHeight="1">
      <c r="A31" s="350"/>
      <c r="B31" s="350"/>
      <c r="C31" s="350" t="s">
        <v>786</v>
      </c>
      <c r="D31" s="350"/>
      <c r="E31" s="350"/>
      <c r="F31" s="350"/>
      <c r="G31" s="350"/>
      <c r="H31" s="376" t="s">
        <v>128</v>
      </c>
      <c r="I31" s="617"/>
      <c r="J31" s="350"/>
      <c r="K31" s="376"/>
      <c r="L31" s="618">
        <f>IF(ISERROR(I31/$I$35),"",I31/$I$35)</f>
      </c>
      <c r="M31" s="350"/>
      <c r="N31" s="342"/>
    </row>
    <row r="32" spans="1:14" ht="5.25" customHeight="1">
      <c r="A32" s="350"/>
      <c r="B32" s="350"/>
      <c r="C32" s="350"/>
      <c r="D32" s="350"/>
      <c r="E32" s="350"/>
      <c r="F32" s="350"/>
      <c r="G32" s="350"/>
      <c r="H32" s="350"/>
      <c r="I32" s="350"/>
      <c r="J32" s="350"/>
      <c r="K32" s="350"/>
      <c r="L32" s="350"/>
      <c r="M32" s="350"/>
      <c r="N32" s="342"/>
    </row>
    <row r="33" spans="1:14" ht="13.5" customHeight="1">
      <c r="A33" s="380" t="s">
        <v>54</v>
      </c>
      <c r="B33" s="350"/>
      <c r="C33" s="350"/>
      <c r="D33" s="350"/>
      <c r="E33" s="350"/>
      <c r="F33" s="350"/>
      <c r="G33" s="350"/>
      <c r="H33" s="350"/>
      <c r="I33" s="350"/>
      <c r="J33" s="350"/>
      <c r="K33" s="350"/>
      <c r="L33" s="350"/>
      <c r="M33" s="350"/>
      <c r="N33" s="342"/>
    </row>
    <row r="34" spans="1:14" ht="13.5" customHeight="1">
      <c r="A34" s="376" t="s">
        <v>55</v>
      </c>
      <c r="C34" s="350" t="s">
        <v>526</v>
      </c>
      <c r="D34" s="946"/>
      <c r="E34" s="350"/>
      <c r="F34" s="350"/>
      <c r="G34" s="350"/>
      <c r="H34" s="376" t="s">
        <v>128</v>
      </c>
      <c r="I34" s="390">
        <f>I25+I29+I31</f>
        <v>0</v>
      </c>
      <c r="J34" s="699"/>
      <c r="K34" s="350"/>
      <c r="L34" s="350"/>
      <c r="M34" s="350"/>
      <c r="N34" s="342"/>
    </row>
    <row r="35" spans="1:14" ht="13.5" customHeight="1">
      <c r="A35" s="376" t="s">
        <v>71</v>
      </c>
      <c r="C35" s="350" t="s">
        <v>57</v>
      </c>
      <c r="D35" s="946"/>
      <c r="E35" s="350"/>
      <c r="F35" s="350"/>
      <c r="G35" s="350"/>
      <c r="H35" s="376" t="s">
        <v>128</v>
      </c>
      <c r="I35" s="389"/>
      <c r="J35" s="697"/>
      <c r="K35" s="350"/>
      <c r="L35" s="350"/>
      <c r="M35" s="350"/>
      <c r="N35" s="342"/>
    </row>
    <row r="36" spans="1:14" ht="13.5" customHeight="1">
      <c r="A36" s="376" t="s">
        <v>72</v>
      </c>
      <c r="C36" s="350" t="s">
        <v>527</v>
      </c>
      <c r="D36" s="946"/>
      <c r="E36" s="516"/>
      <c r="F36" s="516"/>
      <c r="G36" s="350"/>
      <c r="H36" s="376" t="s">
        <v>128</v>
      </c>
      <c r="I36" s="550" t="str">
        <f>IF(I35&gt;0,ROUND((I7/I35)*10000,4)," ")</f>
        <v> </v>
      </c>
      <c r="J36" s="701" t="s">
        <v>289</v>
      </c>
      <c r="K36" s="350"/>
      <c r="L36" s="350"/>
      <c r="M36" s="350"/>
      <c r="N36" s="342"/>
    </row>
    <row r="37" spans="1:16" ht="13.5" customHeight="1">
      <c r="A37" s="376" t="s">
        <v>56</v>
      </c>
      <c r="C37" s="350" t="s">
        <v>528</v>
      </c>
      <c r="D37" s="946"/>
      <c r="E37" s="516"/>
      <c r="F37" s="516"/>
      <c r="G37" s="350"/>
      <c r="H37" s="376" t="s">
        <v>128</v>
      </c>
      <c r="I37" s="551">
        <f>I7+I25+I29+I31</f>
        <v>0</v>
      </c>
      <c r="J37" s="697"/>
      <c r="K37" s="350"/>
      <c r="L37" s="350"/>
      <c r="M37" s="350"/>
      <c r="N37" s="2"/>
      <c r="O37" s="2"/>
      <c r="P37" s="2"/>
    </row>
    <row r="38" spans="1:16" ht="13.5" customHeight="1">
      <c r="A38" s="376" t="s">
        <v>28</v>
      </c>
      <c r="C38" s="350" t="s">
        <v>73</v>
      </c>
      <c r="D38" s="946"/>
      <c r="E38" s="350"/>
      <c r="F38" s="350"/>
      <c r="G38" s="350"/>
      <c r="H38" s="376" t="s">
        <v>128</v>
      </c>
      <c r="I38" s="394" t="str">
        <f>IF(I35&gt;0,ROUND((I37/I35)*10000,4)," ")</f>
        <v> </v>
      </c>
      <c r="J38" s="701" t="s">
        <v>289</v>
      </c>
      <c r="K38" s="350"/>
      <c r="L38" s="350"/>
      <c r="M38" s="350"/>
      <c r="N38" s="2"/>
      <c r="O38" s="2"/>
      <c r="P38" s="2"/>
    </row>
    <row r="39" spans="1:14" ht="5.25" customHeight="1">
      <c r="A39" s="350"/>
      <c r="B39" s="350"/>
      <c r="C39" s="350"/>
      <c r="D39" s="350"/>
      <c r="E39" s="350"/>
      <c r="F39" s="350"/>
      <c r="G39" s="350"/>
      <c r="H39" s="350"/>
      <c r="I39" s="350"/>
      <c r="J39" s="350"/>
      <c r="K39" s="350"/>
      <c r="L39" s="350"/>
      <c r="M39" s="350"/>
      <c r="N39" s="342"/>
    </row>
    <row r="40" spans="1:14" ht="5.25" customHeight="1">
      <c r="A40" s="350"/>
      <c r="B40" s="350"/>
      <c r="C40" s="350"/>
      <c r="D40" s="350"/>
      <c r="E40" s="350"/>
      <c r="F40" s="350"/>
      <c r="G40" s="350"/>
      <c r="H40" s="350"/>
      <c r="I40" s="350"/>
      <c r="J40" s="350"/>
      <c r="K40" s="350"/>
      <c r="L40" s="350"/>
      <c r="M40" s="350"/>
      <c r="N40" s="342"/>
    </row>
    <row r="41" spans="1:14" ht="15" customHeight="1">
      <c r="A41" s="384" t="s">
        <v>288</v>
      </c>
      <c r="B41" s="385"/>
      <c r="C41" s="1738" t="s">
        <v>529</v>
      </c>
      <c r="D41" s="1738"/>
      <c r="E41" s="1738"/>
      <c r="F41" s="1738"/>
      <c r="G41" s="1738"/>
      <c r="H41" s="1738"/>
      <c r="I41" s="1738"/>
      <c r="J41" s="1738"/>
      <c r="K41" s="1738"/>
      <c r="L41" s="1738"/>
      <c r="M41" s="1739"/>
      <c r="N41" s="262"/>
    </row>
    <row r="42" spans="1:14" ht="9" customHeight="1">
      <c r="A42" s="332"/>
      <c r="B42" s="332"/>
      <c r="C42" s="1738"/>
      <c r="D42" s="1738"/>
      <c r="E42" s="1738"/>
      <c r="F42" s="1738"/>
      <c r="G42" s="1738"/>
      <c r="H42" s="1738"/>
      <c r="I42" s="1738"/>
      <c r="J42" s="1738"/>
      <c r="K42" s="1738"/>
      <c r="L42" s="1738"/>
      <c r="M42" s="1739"/>
      <c r="N42" s="262"/>
    </row>
    <row r="43" spans="1:13" ht="5.25" customHeight="1">
      <c r="A43" s="350"/>
      <c r="B43" s="350"/>
      <c r="C43" s="350"/>
      <c r="D43" s="350"/>
      <c r="E43" s="350"/>
      <c r="F43" s="350"/>
      <c r="G43" s="350"/>
      <c r="H43" s="350"/>
      <c r="I43" s="350"/>
      <c r="J43" s="350"/>
      <c r="K43" s="350"/>
      <c r="L43" s="350"/>
      <c r="M43" s="350"/>
    </row>
    <row r="44" spans="1:13" ht="14.25" customHeight="1">
      <c r="A44" s="698" t="s">
        <v>289</v>
      </c>
      <c r="B44" s="575"/>
      <c r="C44" s="1740" t="s">
        <v>0</v>
      </c>
      <c r="D44" s="1741"/>
      <c r="E44" s="1741"/>
      <c r="F44" s="1741"/>
      <c r="G44" s="1741"/>
      <c r="H44" s="1741"/>
      <c r="I44" s="1741"/>
      <c r="J44" s="1741"/>
      <c r="K44" s="1741"/>
      <c r="L44" s="1741"/>
      <c r="M44" s="1741"/>
    </row>
    <row r="45" spans="1:13" ht="9.75" customHeight="1">
      <c r="A45" s="576"/>
      <c r="B45" s="576"/>
      <c r="C45" s="1741"/>
      <c r="D45" s="1741"/>
      <c r="E45" s="1741"/>
      <c r="F45" s="1741"/>
      <c r="G45" s="1741"/>
      <c r="H45" s="1741"/>
      <c r="I45" s="1741"/>
      <c r="J45" s="1741"/>
      <c r="K45" s="1741"/>
      <c r="L45" s="1741"/>
      <c r="M45" s="1741"/>
    </row>
    <row r="46" spans="1:14" ht="5.25" customHeight="1">
      <c r="A46" s="350"/>
      <c r="B46" s="350"/>
      <c r="C46" s="350"/>
      <c r="D46" s="350"/>
      <c r="E46" s="350"/>
      <c r="F46" s="350"/>
      <c r="G46" s="350"/>
      <c r="H46" s="350"/>
      <c r="I46" s="350"/>
      <c r="J46" s="350"/>
      <c r="K46" s="350"/>
      <c r="L46" s="350"/>
      <c r="M46" s="350"/>
      <c r="N46" s="342"/>
    </row>
    <row r="47" spans="1:14" ht="15" customHeight="1">
      <c r="A47" s="384"/>
      <c r="B47" s="385"/>
      <c r="C47" s="1738"/>
      <c r="D47" s="1738"/>
      <c r="E47" s="1738"/>
      <c r="F47" s="1738"/>
      <c r="G47" s="1738"/>
      <c r="H47" s="1738"/>
      <c r="I47" s="1738"/>
      <c r="J47" s="1738"/>
      <c r="K47" s="1738"/>
      <c r="L47" s="1738"/>
      <c r="M47" s="1739"/>
      <c r="N47" s="262"/>
    </row>
    <row r="48" spans="1:14" ht="9" customHeight="1">
      <c r="A48" s="332"/>
      <c r="B48" s="332"/>
      <c r="C48" s="1738"/>
      <c r="D48" s="1738"/>
      <c r="E48" s="1738"/>
      <c r="F48" s="1738"/>
      <c r="G48" s="1738"/>
      <c r="H48" s="1738"/>
      <c r="I48" s="1738"/>
      <c r="J48" s="1738"/>
      <c r="K48" s="1738"/>
      <c r="L48" s="1738"/>
      <c r="M48" s="1739"/>
      <c r="N48" s="262"/>
    </row>
    <row r="49" spans="1:13" ht="5.25" customHeight="1">
      <c r="A49" s="350"/>
      <c r="B49" s="350"/>
      <c r="C49" s="350"/>
      <c r="D49" s="350"/>
      <c r="E49" s="350"/>
      <c r="F49" s="350"/>
      <c r="G49" s="350"/>
      <c r="H49" s="350"/>
      <c r="I49" s="350"/>
      <c r="J49" s="350"/>
      <c r="K49" s="350"/>
      <c r="L49" s="350"/>
      <c r="M49" s="350"/>
    </row>
    <row r="50" spans="1:13" ht="14.25" customHeight="1">
      <c r="A50" s="698"/>
      <c r="B50" s="575"/>
      <c r="C50" s="1740"/>
      <c r="D50" s="1741"/>
      <c r="E50" s="1741"/>
      <c r="F50" s="1741"/>
      <c r="G50" s="1741"/>
      <c r="H50" s="1741"/>
      <c r="I50" s="1741"/>
      <c r="J50" s="1741"/>
      <c r="K50" s="1741"/>
      <c r="L50" s="1741"/>
      <c r="M50" s="1741"/>
    </row>
    <row r="51" spans="1:13" ht="9.75" customHeight="1">
      <c r="A51" s="576"/>
      <c r="B51" s="576"/>
      <c r="C51" s="1741"/>
      <c r="D51" s="1741"/>
      <c r="E51" s="1741"/>
      <c r="F51" s="1741"/>
      <c r="G51" s="1741"/>
      <c r="H51" s="1741"/>
      <c r="I51" s="1741"/>
      <c r="J51" s="1741"/>
      <c r="K51" s="1741"/>
      <c r="L51" s="1741"/>
      <c r="M51" s="1741"/>
    </row>
    <row r="52" spans="1:13" ht="14.25">
      <c r="A52" s="2"/>
      <c r="B52" s="2"/>
      <c r="C52" s="2"/>
      <c r="D52" s="2"/>
      <c r="E52" s="2"/>
      <c r="F52" s="2"/>
      <c r="G52" s="2"/>
      <c r="H52" s="2"/>
      <c r="I52" s="2"/>
      <c r="J52" s="2"/>
      <c r="K52" s="2"/>
      <c r="L52" s="2"/>
      <c r="M52" s="2"/>
    </row>
    <row r="53" spans="1:13" ht="14.25">
      <c r="A53" s="2"/>
      <c r="B53" s="2"/>
      <c r="C53" s="2"/>
      <c r="D53" s="2"/>
      <c r="E53" s="2"/>
      <c r="F53" s="2"/>
      <c r="G53" s="2"/>
      <c r="H53" s="2"/>
      <c r="I53" s="2"/>
      <c r="J53" s="2"/>
      <c r="K53" s="2"/>
      <c r="L53" s="2"/>
      <c r="M53" s="2"/>
    </row>
  </sheetData>
  <sheetProtection sheet="1" formatCells="0" formatColumns="0" formatRows="0"/>
  <mergeCells count="17">
    <mergeCell ref="F6:G8"/>
    <mergeCell ref="E1:G1"/>
    <mergeCell ref="I1:K1"/>
    <mergeCell ref="C5:G5"/>
    <mergeCell ref="C50:M51"/>
    <mergeCell ref="C47:M48"/>
    <mergeCell ref="K8:M10"/>
    <mergeCell ref="C11:E11"/>
    <mergeCell ref="C13:G13"/>
    <mergeCell ref="I25:I26"/>
    <mergeCell ref="C41:M42"/>
    <mergeCell ref="C44:M45"/>
    <mergeCell ref="C16:G16"/>
    <mergeCell ref="D18:E18"/>
    <mergeCell ref="D19:G19"/>
    <mergeCell ref="D22:E22"/>
    <mergeCell ref="D23:E23"/>
  </mergeCells>
  <hyperlinks>
    <hyperlink ref="A13" r:id="rId1" display="6."/>
    <hyperlink ref="A14" r:id="rId2" display="7."/>
    <hyperlink ref="A18" r:id="rId3" display="10."/>
    <hyperlink ref="A6" location="TruthinTaxl2" display="2."/>
    <hyperlink ref="C17" location="TruthinTaxl8a" display="a."/>
    <hyperlink ref="F6:G8" location="TruthinTaxl2" display="TruthinTaxl2"/>
    <hyperlink ref="A5" location="TruthInTaxl1" display="1."/>
  </hyperlinks>
  <printOptions horizontalCentered="1"/>
  <pageMargins left="0.25" right="0.25" top="0.25" bottom="0.25" header="0" footer="0.25"/>
  <pageSetup fitToHeight="1" fitToWidth="1" horizontalDpi="600" verticalDpi="600" orientation="landscape" paperSize="5" scale="87" r:id="rId5"/>
  <headerFooter alignWithMargins="0">
    <oddFooter>&amp;C&amp;A</oddFooter>
  </headerFooter>
  <drawing r:id="rId4"/>
</worksheet>
</file>

<file path=xl/worksheets/sheet14.xml><?xml version="1.0" encoding="utf-8"?>
<worksheet xmlns="http://schemas.openxmlformats.org/spreadsheetml/2006/main" xmlns:r="http://schemas.openxmlformats.org/officeDocument/2006/relationships">
  <sheetPr>
    <pageSetUpPr fitToPage="1"/>
  </sheetPr>
  <dimension ref="A1:E93"/>
  <sheetViews>
    <sheetView zoomScale="115" zoomScaleNormal="115" zoomScalePageLayoutView="0" workbookViewId="0" topLeftCell="A1">
      <pane ySplit="1" topLeftCell="A57" activePane="bottomLeft" state="frozen"/>
      <selection pane="topLeft" activeCell="Q30" sqref="Q30"/>
      <selection pane="bottomLeft" activeCell="Q30" sqref="Q30"/>
    </sheetView>
  </sheetViews>
  <sheetFormatPr defaultColWidth="8.77734375" defaultRowHeight="15"/>
  <cols>
    <col min="1" max="1" width="9.99609375" style="834" customWidth="1"/>
    <col min="2" max="2" width="11.6640625" style="835" customWidth="1"/>
    <col min="3" max="3" width="78.99609375" style="834" customWidth="1"/>
    <col min="4" max="4" width="12.77734375" style="863" customWidth="1"/>
    <col min="5" max="16384" width="8.77734375" style="824" customWidth="1"/>
  </cols>
  <sheetData>
    <row r="1" spans="1:4" ht="40.5" customHeight="1">
      <c r="A1" s="1127" t="s">
        <v>437</v>
      </c>
      <c r="B1" s="1128" t="s">
        <v>438</v>
      </c>
      <c r="C1" s="1128" t="s">
        <v>545</v>
      </c>
      <c r="D1" s="1127" t="s">
        <v>461</v>
      </c>
    </row>
    <row r="2" spans="1:4" ht="216" customHeight="1">
      <c r="A2" s="1129"/>
      <c r="B2" s="1130" t="s">
        <v>436</v>
      </c>
      <c r="C2" s="1131" t="s">
        <v>750</v>
      </c>
      <c r="D2" s="1132"/>
    </row>
    <row r="3" spans="1:4" ht="138" customHeight="1">
      <c r="A3" s="1129"/>
      <c r="B3" s="1130" t="s">
        <v>436</v>
      </c>
      <c r="C3" s="1131" t="s">
        <v>795</v>
      </c>
      <c r="D3" s="1132"/>
    </row>
    <row r="4" spans="1:4" ht="294.75" customHeight="1">
      <c r="A4" s="1129"/>
      <c r="B4" s="1130" t="s">
        <v>463</v>
      </c>
      <c r="C4" s="1131" t="s">
        <v>594</v>
      </c>
      <c r="D4" s="1133" t="s">
        <v>462</v>
      </c>
    </row>
    <row r="5" spans="1:4" ht="74.25" customHeight="1">
      <c r="A5" s="1129"/>
      <c r="B5" s="1130" t="s">
        <v>464</v>
      </c>
      <c r="C5" s="1131" t="s">
        <v>796</v>
      </c>
      <c r="D5" s="1133" t="s">
        <v>462</v>
      </c>
    </row>
    <row r="6" spans="1:4" ht="386.25" customHeight="1">
      <c r="A6" s="1135" t="s">
        <v>434</v>
      </c>
      <c r="B6" s="1130" t="s">
        <v>767</v>
      </c>
      <c r="C6" s="1131" t="s">
        <v>797</v>
      </c>
      <c r="D6" s="1133" t="s">
        <v>462</v>
      </c>
    </row>
    <row r="7" spans="1:4" ht="124.5" customHeight="1">
      <c r="A7" s="1135" t="s">
        <v>434</v>
      </c>
      <c r="B7" s="1130" t="s">
        <v>488</v>
      </c>
      <c r="C7" s="1134" t="s">
        <v>733</v>
      </c>
      <c r="D7" s="1132"/>
    </row>
    <row r="8" spans="1:4" ht="70.5" customHeight="1">
      <c r="A8" s="1135">
        <v>1</v>
      </c>
      <c r="B8" s="1130" t="s">
        <v>410</v>
      </c>
      <c r="C8" s="1131" t="s">
        <v>656</v>
      </c>
      <c r="D8" s="1132"/>
    </row>
    <row r="9" spans="1:4" ht="144" customHeight="1">
      <c r="A9" s="1135">
        <v>1</v>
      </c>
      <c r="B9" s="1130" t="s">
        <v>440</v>
      </c>
      <c r="C9" s="1131" t="s">
        <v>591</v>
      </c>
      <c r="D9" s="1133" t="s">
        <v>462</v>
      </c>
    </row>
    <row r="10" spans="1:4" ht="77.25" customHeight="1">
      <c r="A10" s="1135">
        <v>1</v>
      </c>
      <c r="B10" s="1130" t="s">
        <v>429</v>
      </c>
      <c r="C10" s="1134" t="s">
        <v>657</v>
      </c>
      <c r="D10" s="1132"/>
    </row>
    <row r="11" spans="1:4" ht="162" customHeight="1">
      <c r="A11" s="1135">
        <v>1</v>
      </c>
      <c r="B11" s="1130" t="s">
        <v>403</v>
      </c>
      <c r="C11" s="1134" t="s">
        <v>614</v>
      </c>
      <c r="D11" s="1132"/>
    </row>
    <row r="12" spans="1:4" ht="75.75" customHeight="1">
      <c r="A12" s="1130">
        <v>1</v>
      </c>
      <c r="B12" s="1130" t="s">
        <v>404</v>
      </c>
      <c r="C12" s="1131" t="s">
        <v>798</v>
      </c>
      <c r="D12" s="1132"/>
    </row>
    <row r="13" spans="1:4" ht="155.25" customHeight="1">
      <c r="A13" s="1135">
        <v>2</v>
      </c>
      <c r="B13" s="1130" t="s">
        <v>770</v>
      </c>
      <c r="C13" s="1142" t="s">
        <v>637</v>
      </c>
      <c r="D13" s="1132"/>
    </row>
    <row r="14" spans="1:4" ht="70.5" customHeight="1">
      <c r="A14" s="1135">
        <v>2</v>
      </c>
      <c r="B14" s="1130" t="s">
        <v>768</v>
      </c>
      <c r="C14" s="1137" t="s">
        <v>799</v>
      </c>
      <c r="D14" s="1132"/>
    </row>
    <row r="15" spans="1:4" ht="103.5" customHeight="1">
      <c r="A15" s="1135">
        <v>2</v>
      </c>
      <c r="B15" s="1130" t="s">
        <v>769</v>
      </c>
      <c r="C15" s="1137" t="s">
        <v>791</v>
      </c>
      <c r="D15" s="1132"/>
    </row>
    <row r="16" spans="1:4" ht="72.75" customHeight="1">
      <c r="A16" s="1135">
        <v>2</v>
      </c>
      <c r="B16" s="1130" t="s">
        <v>445</v>
      </c>
      <c r="C16" s="1129" t="s">
        <v>494</v>
      </c>
      <c r="D16" s="1132"/>
    </row>
    <row r="17" spans="1:4" ht="66.75" customHeight="1">
      <c r="A17" s="1130">
        <v>2</v>
      </c>
      <c r="B17" s="1130" t="s">
        <v>495</v>
      </c>
      <c r="C17" s="1131" t="s">
        <v>615</v>
      </c>
      <c r="D17" s="1132"/>
    </row>
    <row r="18" spans="1:4" ht="214.5" customHeight="1">
      <c r="A18" s="1135">
        <v>2</v>
      </c>
      <c r="B18" s="1130" t="s">
        <v>405</v>
      </c>
      <c r="C18" s="1131" t="s">
        <v>719</v>
      </c>
      <c r="D18" s="1133" t="s">
        <v>462</v>
      </c>
    </row>
    <row r="19" spans="1:4" ht="349.5" customHeight="1">
      <c r="A19" s="1135">
        <v>2</v>
      </c>
      <c r="B19" s="1130" t="s">
        <v>771</v>
      </c>
      <c r="C19" s="1131" t="s">
        <v>800</v>
      </c>
      <c r="D19" s="1133" t="s">
        <v>462</v>
      </c>
    </row>
    <row r="20" spans="1:4" ht="232.5" customHeight="1">
      <c r="A20" s="1135">
        <v>2</v>
      </c>
      <c r="B20" s="1130" t="s">
        <v>772</v>
      </c>
      <c r="C20" s="1131" t="s">
        <v>773</v>
      </c>
      <c r="D20" s="1283"/>
    </row>
    <row r="21" spans="1:4" ht="138.75" customHeight="1">
      <c r="A21" s="1135">
        <v>2</v>
      </c>
      <c r="B21" s="1130" t="s">
        <v>774</v>
      </c>
      <c r="C21" s="1131" t="s">
        <v>815</v>
      </c>
      <c r="D21" s="1283"/>
    </row>
    <row r="22" spans="1:4" ht="99.75" customHeight="1">
      <c r="A22" s="1135">
        <v>2</v>
      </c>
      <c r="B22" s="1130" t="s">
        <v>747</v>
      </c>
      <c r="C22" s="1131" t="s">
        <v>775</v>
      </c>
      <c r="D22" s="1283"/>
    </row>
    <row r="23" spans="1:4" ht="108" customHeight="1">
      <c r="A23" s="1135">
        <v>2</v>
      </c>
      <c r="B23" s="1130" t="s">
        <v>753</v>
      </c>
      <c r="C23" s="1131" t="s">
        <v>816</v>
      </c>
      <c r="D23" s="1283"/>
    </row>
    <row r="24" spans="1:4" ht="310.5" customHeight="1">
      <c r="A24" s="1135">
        <v>2</v>
      </c>
      <c r="B24" s="1130" t="s">
        <v>748</v>
      </c>
      <c r="C24" s="1131" t="s">
        <v>776</v>
      </c>
      <c r="D24" s="1283"/>
    </row>
    <row r="25" spans="1:4" ht="96" customHeight="1">
      <c r="A25" s="1135">
        <v>2</v>
      </c>
      <c r="B25" s="1130" t="s">
        <v>754</v>
      </c>
      <c r="C25" s="1131" t="s">
        <v>777</v>
      </c>
      <c r="D25" s="1283"/>
    </row>
    <row r="26" spans="1:4" ht="90.75" customHeight="1">
      <c r="A26" s="1135">
        <v>3</v>
      </c>
      <c r="B26" s="1130" t="s">
        <v>436</v>
      </c>
      <c r="C26" s="1131" t="s">
        <v>561</v>
      </c>
      <c r="D26" s="1132"/>
    </row>
    <row r="27" spans="1:4" ht="60" customHeight="1">
      <c r="A27" s="1135">
        <v>3</v>
      </c>
      <c r="B27" s="1130" t="s">
        <v>433</v>
      </c>
      <c r="C27" s="1134" t="s">
        <v>568</v>
      </c>
      <c r="D27" s="1132"/>
    </row>
    <row r="28" spans="1:4" ht="68.25" customHeight="1">
      <c r="A28" s="1135">
        <v>3</v>
      </c>
      <c r="B28" s="1130" t="s">
        <v>616</v>
      </c>
      <c r="C28" s="1131" t="s">
        <v>658</v>
      </c>
      <c r="D28" s="1132"/>
    </row>
    <row r="29" spans="1:4" ht="68.25" customHeight="1">
      <c r="A29" s="1135">
        <v>4</v>
      </c>
      <c r="B29" s="1130" t="s">
        <v>431</v>
      </c>
      <c r="C29" s="1134" t="s">
        <v>659</v>
      </c>
      <c r="D29" s="1132"/>
    </row>
    <row r="30" spans="1:4" ht="228" customHeight="1">
      <c r="A30" s="1135">
        <v>4</v>
      </c>
      <c r="B30" s="1130" t="s">
        <v>406</v>
      </c>
      <c r="C30" s="1131" t="s">
        <v>749</v>
      </c>
      <c r="D30" s="1133" t="s">
        <v>462</v>
      </c>
    </row>
    <row r="31" spans="1:4" ht="249" customHeight="1">
      <c r="A31" s="1135">
        <v>5</v>
      </c>
      <c r="B31" s="1130" t="s">
        <v>605</v>
      </c>
      <c r="C31" s="1269" t="s">
        <v>801</v>
      </c>
      <c r="D31" s="1132"/>
    </row>
    <row r="32" spans="1:4" ht="164.25" customHeight="1">
      <c r="A32" s="1135">
        <v>5</v>
      </c>
      <c r="B32" s="1130" t="s">
        <v>705</v>
      </c>
      <c r="C32" s="1269" t="s">
        <v>706</v>
      </c>
      <c r="D32" s="1132"/>
    </row>
    <row r="33" spans="1:4" ht="114" customHeight="1">
      <c r="A33" s="1135">
        <v>6</v>
      </c>
      <c r="B33" s="1130" t="s">
        <v>489</v>
      </c>
      <c r="C33" s="1131" t="s">
        <v>590</v>
      </c>
      <c r="D33" s="1132"/>
    </row>
    <row r="34" spans="1:4" ht="131.25" customHeight="1">
      <c r="A34" s="1135">
        <v>6</v>
      </c>
      <c r="B34" s="1130" t="s">
        <v>720</v>
      </c>
      <c r="C34" s="1131" t="s">
        <v>751</v>
      </c>
      <c r="D34" s="1132"/>
    </row>
    <row r="35" spans="1:4" ht="230.25" customHeight="1">
      <c r="A35" s="1135">
        <v>6</v>
      </c>
      <c r="B35" s="1130" t="s">
        <v>721</v>
      </c>
      <c r="C35" s="1131" t="s">
        <v>752</v>
      </c>
      <c r="D35" s="1132"/>
    </row>
    <row r="36" spans="1:4" ht="57" customHeight="1">
      <c r="A36" s="1135">
        <v>6</v>
      </c>
      <c r="B36" s="1130" t="s">
        <v>490</v>
      </c>
      <c r="C36" s="1134" t="s">
        <v>802</v>
      </c>
      <c r="D36" s="1132"/>
    </row>
    <row r="37" spans="1:4" ht="171" customHeight="1">
      <c r="A37" s="1135">
        <v>6</v>
      </c>
      <c r="B37" s="1130" t="s">
        <v>607</v>
      </c>
      <c r="C37" s="1131" t="s">
        <v>803</v>
      </c>
      <c r="D37" s="1132"/>
    </row>
    <row r="38" spans="1:4" ht="59.25" customHeight="1">
      <c r="A38" s="1130">
        <v>6</v>
      </c>
      <c r="B38" s="1130" t="s">
        <v>805</v>
      </c>
      <c r="C38" s="1131" t="s">
        <v>804</v>
      </c>
      <c r="D38" s="1132"/>
    </row>
    <row r="39" spans="1:4" ht="96" customHeight="1">
      <c r="A39" s="1135">
        <v>6</v>
      </c>
      <c r="B39" s="1130" t="s">
        <v>491</v>
      </c>
      <c r="C39" s="1134" t="s">
        <v>492</v>
      </c>
      <c r="D39" s="1132"/>
    </row>
    <row r="40" spans="1:4" ht="255.75" customHeight="1">
      <c r="A40" s="1135">
        <v>7</v>
      </c>
      <c r="B40" s="1130" t="s">
        <v>436</v>
      </c>
      <c r="C40" s="1131" t="s">
        <v>592</v>
      </c>
      <c r="D40" s="1133" t="s">
        <v>462</v>
      </c>
    </row>
    <row r="41" spans="1:4" ht="176.25" customHeight="1">
      <c r="A41" s="1135">
        <v>7</v>
      </c>
      <c r="B41" s="1130" t="s">
        <v>735</v>
      </c>
      <c r="C41" s="1292" t="s">
        <v>808</v>
      </c>
      <c r="D41" s="1133" t="s">
        <v>462</v>
      </c>
    </row>
    <row r="42" spans="1:4" ht="138.75" customHeight="1">
      <c r="A42" s="1135">
        <v>7</v>
      </c>
      <c r="B42" s="1130" t="s">
        <v>468</v>
      </c>
      <c r="C42" s="1142" t="s">
        <v>809</v>
      </c>
      <c r="D42" s="1133" t="s">
        <v>462</v>
      </c>
    </row>
    <row r="43" spans="1:4" ht="43.5" customHeight="1">
      <c r="A43" s="1135">
        <v>7</v>
      </c>
      <c r="B43" s="1130" t="s">
        <v>439</v>
      </c>
      <c r="C43" s="1293" t="s">
        <v>810</v>
      </c>
      <c r="D43" s="1132"/>
    </row>
    <row r="44" spans="1:4" ht="310.5" customHeight="1">
      <c r="A44" s="1135">
        <v>7</v>
      </c>
      <c r="B44" s="1130" t="s">
        <v>638</v>
      </c>
      <c r="C44" s="1229" t="s">
        <v>814</v>
      </c>
      <c r="D44" s="1132"/>
    </row>
    <row r="45" spans="1:4" ht="33" customHeight="1">
      <c r="A45" s="1129"/>
      <c r="B45" s="1130"/>
      <c r="C45" s="1245" t="s">
        <v>699</v>
      </c>
      <c r="D45" s="1132"/>
    </row>
    <row r="46" spans="1:4" ht="148.5" customHeight="1">
      <c r="A46" s="1135">
        <v>7</v>
      </c>
      <c r="B46" s="1130" t="s">
        <v>407</v>
      </c>
      <c r="C46" s="1131" t="s">
        <v>701</v>
      </c>
      <c r="D46" s="1132"/>
    </row>
    <row r="47" spans="1:4" ht="79.5" customHeight="1">
      <c r="A47" s="1135">
        <v>7</v>
      </c>
      <c r="B47" s="1130" t="s">
        <v>450</v>
      </c>
      <c r="C47" s="1131" t="s">
        <v>736</v>
      </c>
      <c r="D47" s="1132"/>
    </row>
    <row r="48" spans="1:4" ht="215.25" customHeight="1">
      <c r="A48" s="1135">
        <v>7</v>
      </c>
      <c r="B48" s="1130" t="s">
        <v>408</v>
      </c>
      <c r="C48" s="1131" t="s">
        <v>702</v>
      </c>
      <c r="D48" s="1132"/>
    </row>
    <row r="49" spans="1:4" ht="200.25" customHeight="1">
      <c r="A49" s="1135">
        <v>7</v>
      </c>
      <c r="B49" s="1130" t="s">
        <v>409</v>
      </c>
      <c r="C49" s="1292" t="s">
        <v>811</v>
      </c>
      <c r="D49" s="1132"/>
    </row>
    <row r="50" spans="1:4" ht="150.75" customHeight="1">
      <c r="A50" s="1135">
        <v>7</v>
      </c>
      <c r="B50" s="1130" t="s">
        <v>473</v>
      </c>
      <c r="C50" s="1139" t="s">
        <v>617</v>
      </c>
      <c r="D50" s="1133" t="s">
        <v>462</v>
      </c>
    </row>
    <row r="51" spans="1:4" ht="231.75" customHeight="1">
      <c r="A51" s="1135">
        <v>7</v>
      </c>
      <c r="B51" s="1130" t="s">
        <v>410</v>
      </c>
      <c r="C51" s="1131" t="s">
        <v>737</v>
      </c>
      <c r="D51" s="1133" t="s">
        <v>462</v>
      </c>
    </row>
    <row r="52" spans="1:4" ht="213" customHeight="1">
      <c r="A52" s="1135">
        <v>7</v>
      </c>
      <c r="B52" s="1130" t="s">
        <v>411</v>
      </c>
      <c r="C52" s="1131" t="s">
        <v>595</v>
      </c>
      <c r="D52" s="1133" t="s">
        <v>462</v>
      </c>
    </row>
    <row r="53" spans="1:4" ht="203.25" customHeight="1">
      <c r="A53" s="1135">
        <v>7</v>
      </c>
      <c r="B53" s="1130" t="s">
        <v>413</v>
      </c>
      <c r="C53" s="1134" t="s">
        <v>412</v>
      </c>
      <c r="D53" s="1132"/>
    </row>
    <row r="54" spans="1:4" ht="195.75" customHeight="1">
      <c r="A54" s="1135">
        <v>7</v>
      </c>
      <c r="B54" s="1130" t="s">
        <v>430</v>
      </c>
      <c r="C54" s="1131" t="s">
        <v>790</v>
      </c>
      <c r="D54" s="1133" t="s">
        <v>462</v>
      </c>
    </row>
    <row r="55" spans="1:4" ht="29.25" customHeight="1">
      <c r="A55" s="1135"/>
      <c r="B55" s="1130"/>
      <c r="C55" s="1138" t="s">
        <v>465</v>
      </c>
      <c r="D55" s="1133"/>
    </row>
    <row r="56" spans="1:4" ht="375.75" customHeight="1">
      <c r="A56" s="1135">
        <v>7</v>
      </c>
      <c r="B56" s="1130" t="s">
        <v>472</v>
      </c>
      <c r="C56" s="1142" t="s">
        <v>812</v>
      </c>
      <c r="D56" s="1133" t="s">
        <v>462</v>
      </c>
    </row>
    <row r="57" spans="1:4" ht="75.75" customHeight="1">
      <c r="A57" s="1135">
        <v>7</v>
      </c>
      <c r="B57" s="1130" t="s">
        <v>417</v>
      </c>
      <c r="C57" s="1134" t="s">
        <v>443</v>
      </c>
      <c r="D57" s="1132"/>
    </row>
    <row r="58" spans="1:4" ht="180" customHeight="1">
      <c r="A58" s="1135">
        <v>7</v>
      </c>
      <c r="B58" s="1130" t="s">
        <v>457</v>
      </c>
      <c r="C58" s="1131" t="s">
        <v>738</v>
      </c>
      <c r="D58" s="1133" t="s">
        <v>462</v>
      </c>
    </row>
    <row r="59" spans="1:4" ht="313.5" customHeight="1">
      <c r="A59" s="1135">
        <v>7</v>
      </c>
      <c r="B59" s="1130" t="s">
        <v>419</v>
      </c>
      <c r="C59" s="1131" t="s">
        <v>703</v>
      </c>
      <c r="D59" s="1133" t="s">
        <v>462</v>
      </c>
    </row>
    <row r="60" spans="1:4" ht="97.5" customHeight="1">
      <c r="A60" s="1135">
        <v>7</v>
      </c>
      <c r="B60" s="1130" t="s">
        <v>420</v>
      </c>
      <c r="C60" s="1134" t="s">
        <v>660</v>
      </c>
      <c r="D60" s="1132"/>
    </row>
    <row r="61" spans="1:4" ht="177.75" customHeight="1">
      <c r="A61" s="1135">
        <v>7</v>
      </c>
      <c r="B61" s="1130" t="s">
        <v>421</v>
      </c>
      <c r="C61" s="1131" t="s">
        <v>739</v>
      </c>
      <c r="D61" s="1132"/>
    </row>
    <row r="62" spans="1:4" ht="150" customHeight="1">
      <c r="A62" s="1135">
        <v>7</v>
      </c>
      <c r="B62" s="1130" t="s">
        <v>557</v>
      </c>
      <c r="C62" s="1140" t="s">
        <v>474</v>
      </c>
      <c r="D62" s="1132"/>
    </row>
    <row r="63" spans="1:4" ht="121.5" customHeight="1">
      <c r="A63" s="1135">
        <v>7</v>
      </c>
      <c r="B63" s="1130" t="s">
        <v>586</v>
      </c>
      <c r="C63" s="1134" t="s">
        <v>704</v>
      </c>
      <c r="D63" s="1133" t="s">
        <v>462</v>
      </c>
    </row>
    <row r="64" spans="1:4" ht="64.5" customHeight="1">
      <c r="A64" s="1135">
        <v>7</v>
      </c>
      <c r="B64" s="1130" t="s">
        <v>587</v>
      </c>
      <c r="C64" s="1134" t="s">
        <v>661</v>
      </c>
      <c r="D64" s="1132"/>
    </row>
    <row r="65" spans="1:4" ht="135.75" customHeight="1">
      <c r="A65" s="1130">
        <v>7</v>
      </c>
      <c r="B65" s="1130" t="s">
        <v>558</v>
      </c>
      <c r="C65" s="1131" t="s">
        <v>611</v>
      </c>
      <c r="D65" s="1141" t="s">
        <v>462</v>
      </c>
    </row>
    <row r="66" spans="1:4" ht="253.5" customHeight="1">
      <c r="A66" s="1135">
        <v>7</v>
      </c>
      <c r="B66" s="1130" t="s">
        <v>440</v>
      </c>
      <c r="C66" s="1142" t="s">
        <v>689</v>
      </c>
      <c r="D66" s="1141" t="s">
        <v>462</v>
      </c>
    </row>
    <row r="67" spans="1:4" ht="213" customHeight="1">
      <c r="A67" s="1130">
        <v>7</v>
      </c>
      <c r="B67" s="1130" t="s">
        <v>431</v>
      </c>
      <c r="C67" s="1142" t="s">
        <v>813</v>
      </c>
      <c r="D67" s="1133" t="s">
        <v>462</v>
      </c>
    </row>
    <row r="68" spans="1:4" ht="102" customHeight="1">
      <c r="A68" s="1135">
        <v>8</v>
      </c>
      <c r="B68" s="1130" t="s">
        <v>476</v>
      </c>
      <c r="C68" s="1131" t="s">
        <v>740</v>
      </c>
      <c r="D68" s="1133" t="s">
        <v>462</v>
      </c>
    </row>
    <row r="69" spans="1:4" ht="72.75" customHeight="1">
      <c r="A69" s="1135">
        <v>8</v>
      </c>
      <c r="B69" s="1130" t="s">
        <v>477</v>
      </c>
      <c r="C69" s="1131" t="s">
        <v>741</v>
      </c>
      <c r="D69" s="1133" t="s">
        <v>462</v>
      </c>
    </row>
    <row r="70" spans="1:4" ht="91.5" customHeight="1">
      <c r="A70" s="1135">
        <v>8</v>
      </c>
      <c r="B70" s="1130" t="s">
        <v>458</v>
      </c>
      <c r="C70" s="1131" t="s">
        <v>690</v>
      </c>
      <c r="D70" s="1133" t="s">
        <v>462</v>
      </c>
    </row>
    <row r="71" spans="1:4" ht="79.5" customHeight="1">
      <c r="A71" s="1135">
        <v>8</v>
      </c>
      <c r="B71" s="1130" t="s">
        <v>459</v>
      </c>
      <c r="C71" s="1131" t="s">
        <v>691</v>
      </c>
      <c r="D71" s="1133" t="s">
        <v>462</v>
      </c>
    </row>
    <row r="72" spans="1:4" ht="119.25" customHeight="1">
      <c r="A72" s="1135">
        <v>8</v>
      </c>
      <c r="B72" s="1130" t="s">
        <v>422</v>
      </c>
      <c r="C72" s="1131" t="s">
        <v>593</v>
      </c>
      <c r="D72" s="1133" t="s">
        <v>462</v>
      </c>
    </row>
    <row r="73" spans="1:4" ht="153" customHeight="1">
      <c r="A73" s="1130">
        <v>8</v>
      </c>
      <c r="B73" s="1130" t="s">
        <v>441</v>
      </c>
      <c r="C73" s="1142" t="s">
        <v>742</v>
      </c>
      <c r="D73" s="1132"/>
    </row>
    <row r="74" spans="1:4" ht="81" customHeight="1">
      <c r="A74" s="1130">
        <v>8</v>
      </c>
      <c r="B74" s="1130" t="s">
        <v>597</v>
      </c>
      <c r="C74" s="1143" t="s">
        <v>692</v>
      </c>
      <c r="D74" s="1133" t="s">
        <v>462</v>
      </c>
    </row>
    <row r="75" spans="1:4" ht="71.25" customHeight="1">
      <c r="A75" s="1130">
        <v>8</v>
      </c>
      <c r="B75" s="1130" t="s">
        <v>475</v>
      </c>
      <c r="C75" s="1277" t="s">
        <v>743</v>
      </c>
      <c r="D75" s="1133" t="s">
        <v>462</v>
      </c>
    </row>
    <row r="76" spans="1:4" ht="73.5" customHeight="1">
      <c r="A76" s="1130">
        <v>8</v>
      </c>
      <c r="B76" s="1130" t="s">
        <v>559</v>
      </c>
      <c r="C76" s="1139" t="s">
        <v>693</v>
      </c>
      <c r="D76" s="1133" t="s">
        <v>462</v>
      </c>
    </row>
    <row r="77" spans="1:4" ht="135.75" customHeight="1">
      <c r="A77" s="1130">
        <v>8</v>
      </c>
      <c r="B77" s="1130" t="s">
        <v>560</v>
      </c>
      <c r="C77" s="1131" t="s">
        <v>792</v>
      </c>
      <c r="D77" s="1132"/>
    </row>
    <row r="78" spans="1:4" ht="27" customHeight="1">
      <c r="A78" s="1144"/>
      <c r="B78" s="1130"/>
      <c r="C78" s="1136" t="s">
        <v>596</v>
      </c>
      <c r="D78" s="1132"/>
    </row>
    <row r="79" spans="1:4" ht="60.75" customHeight="1">
      <c r="A79" s="1130">
        <v>8</v>
      </c>
      <c r="B79" s="1130" t="s">
        <v>460</v>
      </c>
      <c r="C79" s="1131" t="s">
        <v>479</v>
      </c>
      <c r="D79" s="1132"/>
    </row>
    <row r="80" spans="1:4" ht="143.25" customHeight="1">
      <c r="A80" s="1130" t="s">
        <v>707</v>
      </c>
      <c r="B80" s="1130" t="s">
        <v>452</v>
      </c>
      <c r="C80" s="1131" t="s">
        <v>539</v>
      </c>
      <c r="D80" s="1132"/>
    </row>
    <row r="81" spans="1:4" ht="138.75" customHeight="1">
      <c r="A81" s="1130" t="s">
        <v>806</v>
      </c>
      <c r="B81" s="1130" t="s">
        <v>453</v>
      </c>
      <c r="C81" s="1131" t="s">
        <v>662</v>
      </c>
      <c r="D81" s="1132"/>
    </row>
    <row r="82" spans="1:5" ht="173.25" customHeight="1">
      <c r="A82" s="1130" t="s">
        <v>806</v>
      </c>
      <c r="B82" s="1130" t="s">
        <v>453</v>
      </c>
      <c r="C82" s="1131" t="s">
        <v>663</v>
      </c>
      <c r="D82" s="1132"/>
      <c r="E82" s="984"/>
    </row>
    <row r="83" spans="1:4" ht="183.75" customHeight="1">
      <c r="A83" s="1130" t="s">
        <v>806</v>
      </c>
      <c r="B83" s="1130" t="s">
        <v>453</v>
      </c>
      <c r="C83" s="1131" t="s">
        <v>451</v>
      </c>
      <c r="D83" s="1132"/>
    </row>
    <row r="84" spans="1:4" ht="126" customHeight="1">
      <c r="A84" s="1130" t="s">
        <v>806</v>
      </c>
      <c r="B84" s="1130" t="s">
        <v>453</v>
      </c>
      <c r="C84" s="1131" t="s">
        <v>456</v>
      </c>
      <c r="D84" s="1132"/>
    </row>
    <row r="85" spans="1:4" ht="66.75" customHeight="1">
      <c r="A85" s="1130" t="s">
        <v>435</v>
      </c>
      <c r="B85" s="1130" t="s">
        <v>599</v>
      </c>
      <c r="C85" s="1131" t="s">
        <v>722</v>
      </c>
      <c r="D85" s="1132"/>
    </row>
    <row r="86" spans="1:4" ht="98.25" customHeight="1">
      <c r="A86" s="1130" t="s">
        <v>423</v>
      </c>
      <c r="B86" s="1130" t="s">
        <v>436</v>
      </c>
      <c r="C86" s="1131" t="s">
        <v>455</v>
      </c>
      <c r="D86" s="1132"/>
    </row>
    <row r="87" spans="1:4" ht="242.25" customHeight="1">
      <c r="A87" s="1130" t="s">
        <v>423</v>
      </c>
      <c r="B87" s="1130" t="s">
        <v>454</v>
      </c>
      <c r="C87" s="1131" t="s">
        <v>807</v>
      </c>
      <c r="D87" s="1132"/>
    </row>
    <row r="88" spans="1:4" ht="76.5" customHeight="1">
      <c r="A88" s="1130" t="s">
        <v>423</v>
      </c>
      <c r="B88" s="1130" t="s">
        <v>454</v>
      </c>
      <c r="C88" s="1131" t="s">
        <v>536</v>
      </c>
      <c r="D88" s="1132"/>
    </row>
    <row r="89" spans="1:4" ht="100.5" customHeight="1">
      <c r="A89" s="1130" t="s">
        <v>423</v>
      </c>
      <c r="B89" s="1130" t="s">
        <v>567</v>
      </c>
      <c r="C89" s="1131" t="s">
        <v>683</v>
      </c>
      <c r="D89" s="1132"/>
    </row>
    <row r="90" spans="1:4" ht="107.25" customHeight="1">
      <c r="A90" s="1130" t="s">
        <v>423</v>
      </c>
      <c r="B90" s="1130" t="s">
        <v>534</v>
      </c>
      <c r="C90" s="1131" t="s">
        <v>569</v>
      </c>
      <c r="D90" s="1132"/>
    </row>
    <row r="91" spans="1:4" ht="75">
      <c r="A91" s="1130" t="s">
        <v>423</v>
      </c>
      <c r="B91" s="1130" t="s">
        <v>535</v>
      </c>
      <c r="C91" s="1144" t="s">
        <v>684</v>
      </c>
      <c r="D91" s="1132"/>
    </row>
    <row r="92" spans="1:3" ht="18.75">
      <c r="A92" s="856"/>
      <c r="C92" s="856"/>
    </row>
    <row r="93" spans="1:3" ht="18.75">
      <c r="A93" s="856"/>
      <c r="C93" s="856"/>
    </row>
  </sheetData>
  <sheetProtection sheet="1" formatCells="0" formatColumns="0" formatRows="0" autoFilter="0"/>
  <autoFilter ref="A1:D91"/>
  <hyperlinks>
    <hyperlink ref="C55" r:id="rId1" display="http://www.azed.gov/finance/certificates-of-educational-convenience/"/>
    <hyperlink ref="C78" r:id="rId2" display="http://www.azed.gov/SchoolFinanceReports/Reports"/>
    <hyperlink ref="C45" r:id="rId3" display="http://www.azed.gov/finance/files/2017/05/2018budgetoverrideestimator.xls "/>
  </hyperlinks>
  <printOptions/>
  <pageMargins left="1" right="1" top="1" bottom="1" header="0.5" footer="0.5"/>
  <pageSetup fitToHeight="0" fitToWidth="1" horizontalDpi="600" verticalDpi="600" orientation="portrait" scale="61" r:id="rId4"/>
  <headerFooter>
    <oddFooter>&amp;L&amp;"Times New Roman,Bold"Rev. 5/17-FY 2018&amp;C&amp;"Times New Roman,Bold"Budget Instructions&amp;R&amp;"Times New Roman,Bold"Page &amp;P of &amp;N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O48"/>
  <sheetViews>
    <sheetView showGridLines="0" defaultGridColor="0" zoomScalePageLayoutView="0" colorId="22" workbookViewId="0" topLeftCell="A7">
      <selection activeCell="Q33" sqref="Q33"/>
    </sheetView>
  </sheetViews>
  <sheetFormatPr defaultColWidth="9.77734375" defaultRowHeight="15"/>
  <cols>
    <col min="1" max="2" width="16.77734375" style="1" customWidth="1"/>
    <col min="3" max="3" width="3.77734375" style="1" customWidth="1"/>
    <col min="4" max="5" width="5.77734375" style="1" customWidth="1"/>
    <col min="6" max="12" width="11.77734375" style="1" customWidth="1"/>
    <col min="13" max="13" width="6.77734375" style="1" customWidth="1"/>
    <col min="14" max="14" width="3.77734375" style="597" customWidth="1"/>
    <col min="15" max="16384" width="9.77734375" style="1" customWidth="1"/>
  </cols>
  <sheetData>
    <row r="1" spans="1:15" ht="15.75">
      <c r="A1" s="457" t="s">
        <v>139</v>
      </c>
      <c r="B1" s="1387" t="str">
        <f>Cover!C1</f>
        <v>Gilbert Public Schools</v>
      </c>
      <c r="C1" s="1388"/>
      <c r="D1" s="1388"/>
      <c r="E1" s="1388"/>
      <c r="F1" s="457" t="s">
        <v>140</v>
      </c>
      <c r="G1" s="606" t="str">
        <f>Cover!H1</f>
        <v>Maricopa</v>
      </c>
      <c r="H1" s="318"/>
      <c r="I1" s="457" t="s">
        <v>141</v>
      </c>
      <c r="J1" s="898" t="str">
        <f>CTD</f>
        <v>070241000</v>
      </c>
      <c r="K1" s="897"/>
      <c r="L1" s="623" t="s">
        <v>172</v>
      </c>
      <c r="M1" s="1373" t="str">
        <f>Cover!C8</f>
        <v>Revised #2</v>
      </c>
      <c r="N1" s="1374"/>
      <c r="O1" s="86"/>
    </row>
    <row r="2" spans="1:15" ht="16.5" customHeight="1">
      <c r="A2" s="310" t="s">
        <v>142</v>
      </c>
      <c r="B2" s="310"/>
      <c r="C2" s="310"/>
      <c r="D2" s="311" t="s">
        <v>481</v>
      </c>
      <c r="E2" s="311"/>
      <c r="F2" s="312"/>
      <c r="G2" s="312"/>
      <c r="H2" s="312"/>
      <c r="I2" s="312"/>
      <c r="J2" s="312"/>
      <c r="K2" s="312"/>
      <c r="L2" s="312"/>
      <c r="M2" s="99"/>
      <c r="N2" s="78"/>
      <c r="O2" s="79"/>
    </row>
    <row r="3" spans="1:15" ht="11.25" customHeight="1">
      <c r="A3" s="100"/>
      <c r="B3" s="105"/>
      <c r="C3" s="105"/>
      <c r="D3" s="313"/>
      <c r="E3" s="298"/>
      <c r="F3" s="106"/>
      <c r="G3" s="106" t="s">
        <v>143</v>
      </c>
      <c r="H3" s="106" t="s">
        <v>144</v>
      </c>
      <c r="I3" s="106"/>
      <c r="J3" s="691"/>
      <c r="K3" s="300" t="s">
        <v>145</v>
      </c>
      <c r="L3" s="300"/>
      <c r="M3" s="77"/>
      <c r="N3" s="78"/>
      <c r="O3" s="79"/>
    </row>
    <row r="4" spans="1:15" ht="11.25" customHeight="1">
      <c r="A4" s="104"/>
      <c r="B4" s="105"/>
      <c r="C4" s="105"/>
      <c r="D4" s="161" t="s">
        <v>498</v>
      </c>
      <c r="E4" s="300"/>
      <c r="F4" s="106" t="s">
        <v>146</v>
      </c>
      <c r="G4" s="106" t="s">
        <v>147</v>
      </c>
      <c r="H4" s="106" t="s">
        <v>148</v>
      </c>
      <c r="I4" s="106" t="s">
        <v>149</v>
      </c>
      <c r="J4" s="691" t="s">
        <v>150</v>
      </c>
      <c r="K4" s="107" t="s">
        <v>563</v>
      </c>
      <c r="L4" s="163" t="s">
        <v>151</v>
      </c>
      <c r="M4" s="106" t="s">
        <v>152</v>
      </c>
      <c r="N4" s="78"/>
      <c r="O4" s="79"/>
    </row>
    <row r="5" spans="1:15" ht="11.25" customHeight="1">
      <c r="A5" s="882" t="s">
        <v>153</v>
      </c>
      <c r="B5" s="79"/>
      <c r="C5" s="105"/>
      <c r="D5" s="106" t="s">
        <v>563</v>
      </c>
      <c r="E5" s="107" t="s">
        <v>151</v>
      </c>
      <c r="F5" s="108"/>
      <c r="G5" s="108"/>
      <c r="H5" s="106" t="s">
        <v>154</v>
      </c>
      <c r="I5" s="106"/>
      <c r="J5" s="106"/>
      <c r="K5" s="107" t="s">
        <v>382</v>
      </c>
      <c r="L5" s="163" t="s">
        <v>382</v>
      </c>
      <c r="M5" s="106" t="s">
        <v>155</v>
      </c>
      <c r="N5" s="78"/>
      <c r="O5" s="79"/>
    </row>
    <row r="6" spans="1:15" ht="11.25" customHeight="1">
      <c r="A6" s="109"/>
      <c r="B6" s="110"/>
      <c r="C6" s="111"/>
      <c r="D6" s="112" t="s">
        <v>382</v>
      </c>
      <c r="E6" s="113" t="s">
        <v>382</v>
      </c>
      <c r="F6" s="112" t="s">
        <v>156</v>
      </c>
      <c r="G6" s="112" t="s">
        <v>157</v>
      </c>
      <c r="H6" s="112" t="s">
        <v>158</v>
      </c>
      <c r="I6" s="112">
        <v>6600</v>
      </c>
      <c r="J6" s="112" t="s">
        <v>159</v>
      </c>
      <c r="K6" s="675">
        <v>2017</v>
      </c>
      <c r="L6" s="676">
        <v>2018</v>
      </c>
      <c r="M6" s="112" t="s">
        <v>160</v>
      </c>
      <c r="N6" s="78"/>
      <c r="O6" s="79"/>
    </row>
    <row r="7" spans="1:15" ht="11.25" customHeight="1">
      <c r="A7" s="104" t="s">
        <v>161</v>
      </c>
      <c r="B7" s="105"/>
      <c r="C7" s="105"/>
      <c r="D7" s="1389">
        <f>[2]!F001P100F1000Personnel</f>
        <v>1565</v>
      </c>
      <c r="E7" s="734"/>
      <c r="F7" s="765"/>
      <c r="G7" s="765"/>
      <c r="H7" s="765"/>
      <c r="I7" s="765"/>
      <c r="J7" s="733"/>
      <c r="K7" s="1379">
        <f>[2]!F001P100F1000</f>
        <v>102525614</v>
      </c>
      <c r="L7" s="1377">
        <f>SUM(F8:J8)</f>
        <v>95200398</v>
      </c>
      <c r="M7" s="1375">
        <f>IF(K7=L7,0,IF(K7&gt;0,(L7-K7)/K7,"--"))</f>
        <v>-0.071</v>
      </c>
      <c r="N7" s="127"/>
      <c r="O7" s="79"/>
    </row>
    <row r="8" spans="1:15" ht="11.25" customHeight="1">
      <c r="A8" s="104" t="s">
        <v>570</v>
      </c>
      <c r="B8" s="105"/>
      <c r="C8" s="117" t="s">
        <v>118</v>
      </c>
      <c r="D8" s="1384"/>
      <c r="E8" s="745">
        <f>D7-22-3</f>
        <v>1540</v>
      </c>
      <c r="F8" s="1331">
        <f>66426621+1500000+4100000-400000-2300000+77227</f>
        <v>69403848</v>
      </c>
      <c r="G8" s="1331">
        <f>19564052+2250000+846114-100000-768000</f>
        <v>21792166</v>
      </c>
      <c r="H8" s="1331">
        <v>2875201</v>
      </c>
      <c r="I8" s="1331">
        <f>611128+500000-30982+3119</f>
        <v>1083265</v>
      </c>
      <c r="J8" s="1298">
        <v>45918</v>
      </c>
      <c r="K8" s="1380"/>
      <c r="L8" s="1378"/>
      <c r="M8" s="1376"/>
      <c r="N8" s="592" t="s">
        <v>118</v>
      </c>
      <c r="O8" s="79"/>
    </row>
    <row r="9" spans="1:15" ht="11.25" customHeight="1">
      <c r="A9" s="104" t="s">
        <v>166</v>
      </c>
      <c r="B9" s="105"/>
      <c r="C9" s="117" t="s">
        <v>167</v>
      </c>
      <c r="D9" s="1390">
        <f>[2]!F001P100F2100Personnel</f>
        <v>164</v>
      </c>
      <c r="E9" s="734"/>
      <c r="F9" s="765"/>
      <c r="G9" s="765"/>
      <c r="H9" s="765"/>
      <c r="I9" s="765"/>
      <c r="J9" s="733"/>
      <c r="K9" s="1381">
        <f>[2]!F001P100F2100</f>
        <v>8393600</v>
      </c>
      <c r="L9" s="1377">
        <f>SUM(F10:J10)</f>
        <v>8882661</v>
      </c>
      <c r="M9" s="1375">
        <f>IF(K9=L9,0,IF(K9&gt;0,(L9-K9)/K9,"--"))</f>
        <v>0.058</v>
      </c>
      <c r="N9" s="592" t="s">
        <v>167</v>
      </c>
      <c r="O9" s="79"/>
    </row>
    <row r="10" spans="1:15" ht="11.25" customHeight="1">
      <c r="A10" s="104" t="s">
        <v>168</v>
      </c>
      <c r="B10" s="105"/>
      <c r="C10" s="117" t="s">
        <v>120</v>
      </c>
      <c r="D10" s="1391"/>
      <c r="E10" s="745">
        <f>D9</f>
        <v>164</v>
      </c>
      <c r="F10" s="1331">
        <v>6516603</v>
      </c>
      <c r="G10" s="1331">
        <v>2149111</v>
      </c>
      <c r="H10" s="1331">
        <f>170977+10150</f>
        <v>181127</v>
      </c>
      <c r="I10" s="1331">
        <v>32456</v>
      </c>
      <c r="J10" s="1298">
        <v>3364</v>
      </c>
      <c r="K10" s="1382"/>
      <c r="L10" s="1378"/>
      <c r="M10" s="1376"/>
      <c r="N10" s="592" t="s">
        <v>120</v>
      </c>
      <c r="O10" s="79"/>
    </row>
    <row r="11" spans="1:15" ht="11.25" customHeight="1">
      <c r="A11" s="665" t="s">
        <v>169</v>
      </c>
      <c r="B11" s="105"/>
      <c r="C11" s="117" t="s">
        <v>127</v>
      </c>
      <c r="D11" s="359">
        <f>[2]!F001P100F2200Personnel</f>
        <v>53</v>
      </c>
      <c r="E11" s="745">
        <f>D11-1</f>
        <v>52</v>
      </c>
      <c r="F11" s="1302">
        <v>1993019</v>
      </c>
      <c r="G11" s="1302">
        <v>600976</v>
      </c>
      <c r="H11" s="1302">
        <f>60146+3500</f>
        <v>63646</v>
      </c>
      <c r="I11" s="1302">
        <v>89410</v>
      </c>
      <c r="J11" s="1299">
        <v>1688</v>
      </c>
      <c r="K11" s="363">
        <f>[2]!F001P100F2200</f>
        <v>3557047</v>
      </c>
      <c r="L11" s="75">
        <f aca="true" t="shared" si="0" ref="L11:L21">SUM(F11:J11)</f>
        <v>2748739</v>
      </c>
      <c r="M11" s="314">
        <f aca="true" t="shared" si="1" ref="M11:M23">IF(K11=L11,0,IF(K11&gt;0,(L11-K11)/K11,"--"))</f>
        <v>-0.227</v>
      </c>
      <c r="N11" s="592" t="s">
        <v>127</v>
      </c>
      <c r="O11" s="79"/>
    </row>
    <row r="12" spans="1:15" ht="11.25" customHeight="1">
      <c r="A12" s="104" t="s">
        <v>170</v>
      </c>
      <c r="B12" s="105"/>
      <c r="C12" s="838" t="s">
        <v>131</v>
      </c>
      <c r="D12" s="359">
        <f>[2]!F001P100F2300Personnel</f>
        <v>4</v>
      </c>
      <c r="E12" s="745">
        <v>6</v>
      </c>
      <c r="F12" s="1302">
        <v>584564</v>
      </c>
      <c r="G12" s="1302">
        <v>129806</v>
      </c>
      <c r="H12" s="1302">
        <f>100094+1</f>
        <v>100095</v>
      </c>
      <c r="I12" s="1302">
        <v>2300</v>
      </c>
      <c r="J12" s="1299">
        <v>40522</v>
      </c>
      <c r="K12" s="363">
        <f>[2]!F001P100F2300</f>
        <v>530141</v>
      </c>
      <c r="L12" s="75">
        <f t="shared" si="0"/>
        <v>857287</v>
      </c>
      <c r="M12" s="314">
        <f t="shared" si="1"/>
        <v>0.617</v>
      </c>
      <c r="N12" s="592" t="s">
        <v>131</v>
      </c>
      <c r="O12" s="79"/>
    </row>
    <row r="13" spans="1:15" ht="11.25" customHeight="1">
      <c r="A13" s="104" t="s">
        <v>174</v>
      </c>
      <c r="B13" s="105"/>
      <c r="C13" s="117" t="s">
        <v>132</v>
      </c>
      <c r="D13" s="359">
        <f>[2]!F001P100F2400Personnel</f>
        <v>132.5</v>
      </c>
      <c r="E13" s="745">
        <f aca="true" t="shared" si="2" ref="E13:E21">D13</f>
        <v>132.5</v>
      </c>
      <c r="F13" s="1302">
        <v>7779766</v>
      </c>
      <c r="G13" s="1302">
        <v>2212025</v>
      </c>
      <c r="H13" s="1302">
        <f>408421+25</f>
        <v>408446</v>
      </c>
      <c r="I13" s="1302">
        <v>53402</v>
      </c>
      <c r="J13" s="1299">
        <v>8051</v>
      </c>
      <c r="K13" s="363">
        <f>[2]!F001P100F2400</f>
        <v>10082295</v>
      </c>
      <c r="L13" s="75">
        <f t="shared" si="0"/>
        <v>10461690</v>
      </c>
      <c r="M13" s="314">
        <f t="shared" si="1"/>
        <v>0.038</v>
      </c>
      <c r="N13" s="592" t="s">
        <v>132</v>
      </c>
      <c r="O13" s="79"/>
    </row>
    <row r="14" spans="1:15" ht="11.25" customHeight="1">
      <c r="A14" s="665" t="s">
        <v>329</v>
      </c>
      <c r="B14" s="517"/>
      <c r="C14" s="117" t="s">
        <v>133</v>
      </c>
      <c r="D14" s="336">
        <f>[2]!F001P100F2500Personnel</f>
        <v>87.25</v>
      </c>
      <c r="E14" s="745">
        <f>D14-3.5-2-3</f>
        <v>78.75</v>
      </c>
      <c r="F14" s="1302">
        <f>925485+2300000</f>
        <v>3225485</v>
      </c>
      <c r="G14" s="1302">
        <f>320896+768000</f>
        <v>1088896</v>
      </c>
      <c r="H14" s="1302">
        <v>1342189</v>
      </c>
      <c r="I14" s="1302">
        <f>59349+250000</f>
        <v>309349</v>
      </c>
      <c r="J14" s="1299">
        <v>43303</v>
      </c>
      <c r="K14" s="337">
        <f>[2]!F001P100F2500</f>
        <v>6416128</v>
      </c>
      <c r="L14" s="75">
        <f t="shared" si="0"/>
        <v>6009222</v>
      </c>
      <c r="M14" s="314">
        <f t="shared" si="1"/>
        <v>-0.063</v>
      </c>
      <c r="N14" s="592" t="s">
        <v>133</v>
      </c>
      <c r="O14" s="79"/>
    </row>
    <row r="15" spans="1:15" ht="11.25" customHeight="1">
      <c r="A15" s="665" t="s">
        <v>330</v>
      </c>
      <c r="B15" s="517"/>
      <c r="C15" s="117" t="s">
        <v>134</v>
      </c>
      <c r="D15" s="359">
        <f>[2]!F001P100F2600Personnel</f>
        <v>395.4</v>
      </c>
      <c r="E15" s="745">
        <f>D15-1-15</f>
        <v>379.4</v>
      </c>
      <c r="F15" s="1302">
        <v>8501109</v>
      </c>
      <c r="G15" s="1302">
        <v>3349424</v>
      </c>
      <c r="H15" s="1302">
        <f>4907259+300000</f>
        <v>5207259</v>
      </c>
      <c r="I15" s="1302">
        <f>6669959+300000</f>
        <v>6969959</v>
      </c>
      <c r="J15" s="1299">
        <v>9440</v>
      </c>
      <c r="K15" s="363">
        <f>[2]!F001P100F2600</f>
        <v>23797741</v>
      </c>
      <c r="L15" s="75">
        <f t="shared" si="0"/>
        <v>24037191</v>
      </c>
      <c r="M15" s="314">
        <f t="shared" si="1"/>
        <v>0.01</v>
      </c>
      <c r="N15" s="592" t="s">
        <v>134</v>
      </c>
      <c r="O15" s="79"/>
    </row>
    <row r="16" spans="1:15" ht="11.25" customHeight="1">
      <c r="A16" s="104" t="s">
        <v>93</v>
      </c>
      <c r="B16" s="105"/>
      <c r="C16" s="117" t="s">
        <v>176</v>
      </c>
      <c r="D16" s="336">
        <f>[2]!F001P100F2900Personnel</f>
        <v>0</v>
      </c>
      <c r="E16" s="745">
        <f t="shared" si="2"/>
        <v>0</v>
      </c>
      <c r="F16" s="1302">
        <v>0</v>
      </c>
      <c r="G16" s="1302">
        <v>0</v>
      </c>
      <c r="H16" s="1302">
        <v>0</v>
      </c>
      <c r="I16" s="1302">
        <v>0</v>
      </c>
      <c r="J16" s="1299">
        <v>0</v>
      </c>
      <c r="K16" s="337">
        <f>[2]!F001P100F2900</f>
        <v>0</v>
      </c>
      <c r="L16" s="75">
        <f t="shared" si="0"/>
        <v>0</v>
      </c>
      <c r="M16" s="314">
        <f t="shared" si="1"/>
        <v>0</v>
      </c>
      <c r="N16" s="592" t="s">
        <v>176</v>
      </c>
      <c r="O16" s="79"/>
    </row>
    <row r="17" spans="1:15" ht="11.25" customHeight="1">
      <c r="A17" s="104" t="s">
        <v>175</v>
      </c>
      <c r="B17" s="169"/>
      <c r="C17" s="838" t="s">
        <v>177</v>
      </c>
      <c r="D17" s="359">
        <f>[2]!F001P100F3000Personnel</f>
        <v>5</v>
      </c>
      <c r="E17" s="745">
        <f t="shared" si="2"/>
        <v>5</v>
      </c>
      <c r="F17" s="1302">
        <v>173229</v>
      </c>
      <c r="G17" s="1302">
        <v>63897</v>
      </c>
      <c r="H17" s="1302">
        <v>99876</v>
      </c>
      <c r="I17" s="1302">
        <v>0</v>
      </c>
      <c r="J17" s="1299">
        <v>0</v>
      </c>
      <c r="K17" s="363">
        <f>[2]!F001P100F3000</f>
        <v>308275</v>
      </c>
      <c r="L17" s="75">
        <f t="shared" si="0"/>
        <v>337002</v>
      </c>
      <c r="M17" s="314">
        <f t="shared" si="1"/>
        <v>0.093</v>
      </c>
      <c r="N17" s="592" t="s">
        <v>177</v>
      </c>
      <c r="O17" s="79"/>
    </row>
    <row r="18" spans="1:15" ht="11.25" customHeight="1">
      <c r="A18" s="104" t="s">
        <v>196</v>
      </c>
      <c r="B18" s="169"/>
      <c r="C18" s="170" t="s">
        <v>178</v>
      </c>
      <c r="D18" s="359">
        <f>[2]!F001P610Personnel</f>
        <v>0</v>
      </c>
      <c r="E18" s="745">
        <f t="shared" si="2"/>
        <v>0</v>
      </c>
      <c r="F18" s="1305">
        <v>0</v>
      </c>
      <c r="G18" s="1305">
        <v>0</v>
      </c>
      <c r="H18" s="1305">
        <v>150</v>
      </c>
      <c r="I18" s="1305">
        <v>0</v>
      </c>
      <c r="J18" s="1300">
        <v>0</v>
      </c>
      <c r="K18" s="364">
        <f>[2]!F001P610</f>
        <v>634</v>
      </c>
      <c r="L18" s="75">
        <f t="shared" si="0"/>
        <v>150</v>
      </c>
      <c r="M18" s="315">
        <f t="shared" si="1"/>
        <v>-0.763</v>
      </c>
      <c r="N18" s="592" t="s">
        <v>178</v>
      </c>
      <c r="O18" s="79"/>
    </row>
    <row r="19" spans="1:15" ht="11.25" customHeight="1">
      <c r="A19" s="104" t="s">
        <v>198</v>
      </c>
      <c r="B19" s="169"/>
      <c r="C19" s="1066" t="s">
        <v>179</v>
      </c>
      <c r="D19" s="359">
        <f>[2]!F001P620Personnel</f>
        <v>9</v>
      </c>
      <c r="E19" s="745">
        <f t="shared" si="2"/>
        <v>9</v>
      </c>
      <c r="F19" s="1305">
        <v>1668394</v>
      </c>
      <c r="G19" s="1332">
        <v>284914</v>
      </c>
      <c r="H19" s="1305">
        <v>48377</v>
      </c>
      <c r="I19" s="1305">
        <v>15380</v>
      </c>
      <c r="J19" s="1300">
        <v>2411</v>
      </c>
      <c r="K19" s="364">
        <f>[2]!F001P620</f>
        <v>1652606</v>
      </c>
      <c r="L19" s="75">
        <f t="shared" si="0"/>
        <v>2019476</v>
      </c>
      <c r="M19" s="315">
        <f t="shared" si="1"/>
        <v>0.222</v>
      </c>
      <c r="N19" s="592" t="s">
        <v>179</v>
      </c>
      <c r="O19" s="79"/>
    </row>
    <row r="20" spans="1:15" ht="11.25" customHeight="1">
      <c r="A20" s="665" t="s">
        <v>582</v>
      </c>
      <c r="B20" s="331"/>
      <c r="C20" s="1180" t="s">
        <v>180</v>
      </c>
      <c r="D20" s="336">
        <f>[2]!F001P630Personnel</f>
        <v>0</v>
      </c>
      <c r="E20" s="745">
        <f t="shared" si="2"/>
        <v>0</v>
      </c>
      <c r="F20" s="1301">
        <v>0</v>
      </c>
      <c r="G20" s="1304">
        <v>0</v>
      </c>
      <c r="H20" s="1306">
        <v>0</v>
      </c>
      <c r="I20" s="1305">
        <v>0</v>
      </c>
      <c r="J20" s="1305">
        <v>0</v>
      </c>
      <c r="K20" s="785">
        <f>[2]!F001P630</f>
        <v>7000</v>
      </c>
      <c r="L20" s="896">
        <f t="shared" si="0"/>
        <v>0</v>
      </c>
      <c r="M20" s="1076">
        <f t="shared" si="1"/>
        <v>-1</v>
      </c>
      <c r="N20" s="1077" t="s">
        <v>180</v>
      </c>
      <c r="O20" s="79"/>
    </row>
    <row r="21" spans="1:15" ht="11.25" customHeight="1">
      <c r="A21" s="1161" t="s">
        <v>581</v>
      </c>
      <c r="B21" s="1162"/>
      <c r="C21" s="1181" t="s">
        <v>181</v>
      </c>
      <c r="D21" s="339">
        <f>[2]!F001P700800900Personnel</f>
        <v>0</v>
      </c>
      <c r="E21" s="745">
        <f t="shared" si="2"/>
        <v>0</v>
      </c>
      <c r="F21" s="1302">
        <v>62815</v>
      </c>
      <c r="G21" s="1305">
        <v>21271</v>
      </c>
      <c r="H21" s="1302">
        <v>0</v>
      </c>
      <c r="I21" s="1302">
        <v>0</v>
      </c>
      <c r="J21" s="1302">
        <v>0</v>
      </c>
      <c r="K21" s="337">
        <f>[2]!F001P700800900</f>
        <v>198308</v>
      </c>
      <c r="L21" s="896">
        <f t="shared" si="0"/>
        <v>84086</v>
      </c>
      <c r="M21" s="710">
        <f t="shared" si="1"/>
        <v>-0.576</v>
      </c>
      <c r="N21" s="645" t="s">
        <v>181</v>
      </c>
      <c r="O21" s="79"/>
    </row>
    <row r="22" spans="1:15" ht="11.25" customHeight="1">
      <c r="A22" s="666" t="s">
        <v>583</v>
      </c>
      <c r="B22" s="612"/>
      <c r="C22" s="655" t="s">
        <v>182</v>
      </c>
      <c r="D22" s="360">
        <f>SUM(D7:D21)</f>
        <v>2415.15</v>
      </c>
      <c r="E22" s="254">
        <f aca="true" t="shared" si="3" ref="E22:J22">E8+SUM(E10:E21)</f>
        <v>2366.65</v>
      </c>
      <c r="F22" s="338">
        <f t="shared" si="3"/>
        <v>99908832</v>
      </c>
      <c r="G22" s="338">
        <f t="shared" si="3"/>
        <v>31692486</v>
      </c>
      <c r="H22" s="338">
        <f t="shared" si="3"/>
        <v>10326366</v>
      </c>
      <c r="I22" s="338">
        <f t="shared" si="3"/>
        <v>8555521</v>
      </c>
      <c r="J22" s="166">
        <f t="shared" si="3"/>
        <v>154697</v>
      </c>
      <c r="K22" s="166">
        <f>SUM(K7:K21)</f>
        <v>157469389</v>
      </c>
      <c r="L22" s="166">
        <f>SUM(L7:L21)</f>
        <v>150637902</v>
      </c>
      <c r="M22" s="314">
        <f t="shared" si="1"/>
        <v>-0.043</v>
      </c>
      <c r="N22" s="645" t="s">
        <v>182</v>
      </c>
      <c r="O22" s="79"/>
    </row>
    <row r="23" spans="1:15" ht="11.25" customHeight="1">
      <c r="A23" s="1236" t="s">
        <v>687</v>
      </c>
      <c r="B23" s="105"/>
      <c r="C23" s="117"/>
      <c r="D23" s="1389">
        <f>[2]!F001P200F1000Personnel</f>
        <v>726</v>
      </c>
      <c r="E23" s="734"/>
      <c r="F23" s="765"/>
      <c r="G23" s="765"/>
      <c r="H23" s="765"/>
      <c r="I23" s="765"/>
      <c r="J23" s="733"/>
      <c r="K23" s="1381">
        <f>[2]!F001P200F1000</f>
        <v>30286622</v>
      </c>
      <c r="L23" s="1377">
        <f>SUM(F24:J24)</f>
        <v>32671344</v>
      </c>
      <c r="M23" s="1375">
        <f t="shared" si="1"/>
        <v>0.079</v>
      </c>
      <c r="N23" s="645"/>
      <c r="O23" s="79"/>
    </row>
    <row r="24" spans="1:15" ht="11.25" customHeight="1">
      <c r="A24" s="104" t="s">
        <v>570</v>
      </c>
      <c r="B24" s="105"/>
      <c r="C24" s="1205" t="s">
        <v>183</v>
      </c>
      <c r="D24" s="1384"/>
      <c r="E24" s="745">
        <f>D23</f>
        <v>726</v>
      </c>
      <c r="F24" s="1331">
        <f>23488813+99097+9910</f>
        <v>23597820</v>
      </c>
      <c r="G24" s="1331">
        <f>8025489+300000-9529</f>
        <v>8315960</v>
      </c>
      <c r="H24" s="1331">
        <f>2869791-2500000+338431</f>
        <v>708222</v>
      </c>
      <c r="I24" s="1331">
        <v>48550</v>
      </c>
      <c r="J24" s="1298">
        <v>792</v>
      </c>
      <c r="K24" s="1382"/>
      <c r="L24" s="1378"/>
      <c r="M24" s="1376"/>
      <c r="N24" s="645" t="s">
        <v>183</v>
      </c>
      <c r="O24" s="79"/>
    </row>
    <row r="25" spans="1:15" ht="11.25" customHeight="1">
      <c r="A25" s="104" t="s">
        <v>166</v>
      </c>
      <c r="B25" s="105"/>
      <c r="C25" s="586"/>
      <c r="D25" s="1392">
        <f>[2]!F001P200F2100Personnel</f>
        <v>103</v>
      </c>
      <c r="E25" s="734"/>
      <c r="F25" s="765"/>
      <c r="G25" s="765"/>
      <c r="H25" s="765"/>
      <c r="I25" s="765"/>
      <c r="J25" s="733"/>
      <c r="K25" s="1381">
        <f>[2]!F001P200F2100</f>
        <v>8989824</v>
      </c>
      <c r="L25" s="1377">
        <f>SUM(F26:J26)</f>
        <v>11224125</v>
      </c>
      <c r="M25" s="1375">
        <f>IF(K25=L25,0,IF(K25&gt;0,(L25-K25)/K25,"--"))</f>
        <v>0.249</v>
      </c>
      <c r="N25" s="645" t="s">
        <v>167</v>
      </c>
      <c r="O25" s="79"/>
    </row>
    <row r="26" spans="1:15" ht="11.25" customHeight="1">
      <c r="A26" s="104" t="s">
        <v>168</v>
      </c>
      <c r="B26" s="105"/>
      <c r="C26" s="586" t="s">
        <v>184</v>
      </c>
      <c r="D26" s="1393"/>
      <c r="E26" s="745">
        <v>93</v>
      </c>
      <c r="F26" s="1331">
        <v>8239709</v>
      </c>
      <c r="G26" s="1331">
        <v>2301603</v>
      </c>
      <c r="H26" s="1331">
        <f>650808+27705</f>
        <v>678513</v>
      </c>
      <c r="I26" s="1331">
        <v>4300</v>
      </c>
      <c r="J26" s="1298">
        <v>0</v>
      </c>
      <c r="K26" s="1382"/>
      <c r="L26" s="1378"/>
      <c r="M26" s="1376"/>
      <c r="N26" s="645" t="s">
        <v>184</v>
      </c>
      <c r="O26" s="79"/>
    </row>
    <row r="27" spans="1:15" ht="11.25" customHeight="1">
      <c r="A27" s="665" t="s">
        <v>169</v>
      </c>
      <c r="B27" s="105"/>
      <c r="C27" s="586" t="s">
        <v>185</v>
      </c>
      <c r="D27" s="361">
        <f>[2]!F001P200F2200Personnel</f>
        <v>5</v>
      </c>
      <c r="E27" s="745">
        <v>14</v>
      </c>
      <c r="F27" s="1302">
        <v>886843</v>
      </c>
      <c r="G27" s="1302">
        <v>252571</v>
      </c>
      <c r="H27" s="1302">
        <v>3669</v>
      </c>
      <c r="I27" s="1302">
        <v>8525</v>
      </c>
      <c r="J27" s="1299">
        <v>43</v>
      </c>
      <c r="K27" s="363">
        <f>[2]!F001P200F2200</f>
        <v>828919</v>
      </c>
      <c r="L27" s="75">
        <f aca="true" t="shared" si="4" ref="L27:L33">SUM(F27:J27)</f>
        <v>1151651</v>
      </c>
      <c r="M27" s="314">
        <f aca="true" t="shared" si="5" ref="M27:M34">IF(K27=L27,0,IF(K27&gt;0,(L27-K27)/K27,"--"))</f>
        <v>0.389</v>
      </c>
      <c r="N27" s="645" t="s">
        <v>185</v>
      </c>
      <c r="O27" s="79"/>
    </row>
    <row r="28" spans="1:15" ht="11.25" customHeight="1">
      <c r="A28" s="104" t="s">
        <v>170</v>
      </c>
      <c r="B28" s="105"/>
      <c r="C28" s="586" t="s">
        <v>186</v>
      </c>
      <c r="D28" s="361">
        <f>[2]!F001P200F2300Personnel</f>
        <v>0.5</v>
      </c>
      <c r="E28" s="745">
        <v>0</v>
      </c>
      <c r="F28" s="1302">
        <v>0</v>
      </c>
      <c r="G28" s="1302">
        <v>0</v>
      </c>
      <c r="H28" s="1302">
        <v>0</v>
      </c>
      <c r="I28" s="1302">
        <v>0</v>
      </c>
      <c r="J28" s="1299">
        <v>0</v>
      </c>
      <c r="K28" s="363">
        <f>[2]!F001P200F2300</f>
        <v>10387</v>
      </c>
      <c r="L28" s="75">
        <f t="shared" si="4"/>
        <v>0</v>
      </c>
      <c r="M28" s="314">
        <f t="shared" si="5"/>
        <v>-1</v>
      </c>
      <c r="N28" s="645" t="s">
        <v>186</v>
      </c>
      <c r="O28" s="79"/>
    </row>
    <row r="29" spans="1:15" ht="11.25" customHeight="1">
      <c r="A29" s="104" t="s">
        <v>174</v>
      </c>
      <c r="B29" s="105"/>
      <c r="C29" s="586" t="s">
        <v>187</v>
      </c>
      <c r="D29" s="361">
        <f>[2]!F001P200F2400Personnel</f>
        <v>1</v>
      </c>
      <c r="E29" s="745">
        <v>2</v>
      </c>
      <c r="F29" s="1302">
        <v>8106</v>
      </c>
      <c r="G29" s="1302">
        <v>2147</v>
      </c>
      <c r="H29" s="1302">
        <v>0</v>
      </c>
      <c r="I29" s="1302">
        <v>612</v>
      </c>
      <c r="J29" s="1299">
        <v>0</v>
      </c>
      <c r="K29" s="363">
        <f>[2]!F001P200F2400</f>
        <v>7553</v>
      </c>
      <c r="L29" s="75">
        <f t="shared" si="4"/>
        <v>10865</v>
      </c>
      <c r="M29" s="314">
        <f t="shared" si="5"/>
        <v>0.439</v>
      </c>
      <c r="N29" s="645" t="s">
        <v>187</v>
      </c>
      <c r="O29" s="79"/>
    </row>
    <row r="30" spans="1:15" ht="11.25" customHeight="1">
      <c r="A30" s="665" t="s">
        <v>329</v>
      </c>
      <c r="B30" s="517"/>
      <c r="C30" s="586" t="s">
        <v>189</v>
      </c>
      <c r="D30" s="336">
        <f>[2]!F001P200F2500Personnel</f>
        <v>0</v>
      </c>
      <c r="E30" s="745">
        <f>D30</f>
        <v>0</v>
      </c>
      <c r="F30" s="1302">
        <v>0</v>
      </c>
      <c r="G30" s="1302">
        <v>0</v>
      </c>
      <c r="H30" s="1302">
        <v>0</v>
      </c>
      <c r="I30" s="1302">
        <v>0</v>
      </c>
      <c r="J30" s="1299">
        <v>0</v>
      </c>
      <c r="K30" s="337">
        <f>[2]!F001P200F2500</f>
        <v>21375</v>
      </c>
      <c r="L30" s="75">
        <f>SUM(F30:J30)</f>
        <v>0</v>
      </c>
      <c r="M30" s="314">
        <f t="shared" si="5"/>
        <v>-1</v>
      </c>
      <c r="N30" s="645" t="s">
        <v>189</v>
      </c>
      <c r="O30" s="79"/>
    </row>
    <row r="31" spans="1:15" ht="11.25" customHeight="1">
      <c r="A31" s="665" t="s">
        <v>330</v>
      </c>
      <c r="B31" s="517"/>
      <c r="C31" s="586" t="s">
        <v>191</v>
      </c>
      <c r="D31" s="361">
        <f>[2]!F001P200F2600Personnel</f>
        <v>0</v>
      </c>
      <c r="E31" s="745">
        <f>D31</f>
        <v>0</v>
      </c>
      <c r="F31" s="1302">
        <v>0</v>
      </c>
      <c r="G31" s="1302">
        <v>0</v>
      </c>
      <c r="H31" s="1302">
        <v>4000</v>
      </c>
      <c r="I31" s="1302">
        <v>718</v>
      </c>
      <c r="J31" s="1299">
        <v>0</v>
      </c>
      <c r="K31" s="363">
        <f>[2]!F001P200F2600</f>
        <v>3445</v>
      </c>
      <c r="L31" s="75">
        <f t="shared" si="4"/>
        <v>4718</v>
      </c>
      <c r="M31" s="314">
        <f t="shared" si="5"/>
        <v>0.37</v>
      </c>
      <c r="N31" s="645" t="s">
        <v>191</v>
      </c>
      <c r="O31" s="79"/>
    </row>
    <row r="32" spans="1:15" ht="11.25" customHeight="1">
      <c r="A32" s="104" t="s">
        <v>93</v>
      </c>
      <c r="B32" s="105"/>
      <c r="C32" s="586" t="s">
        <v>192</v>
      </c>
      <c r="D32" s="336">
        <f>[2]!F001P200F2900Personnel</f>
        <v>0</v>
      </c>
      <c r="E32" s="745">
        <f>D32</f>
        <v>0</v>
      </c>
      <c r="F32" s="1302">
        <v>0</v>
      </c>
      <c r="G32" s="1302">
        <v>0</v>
      </c>
      <c r="H32" s="1302">
        <v>0</v>
      </c>
      <c r="I32" s="1302">
        <v>0</v>
      </c>
      <c r="J32" s="1299">
        <v>0</v>
      </c>
      <c r="K32" s="337">
        <f>[2]!F001P200F2900</f>
        <v>0</v>
      </c>
      <c r="L32" s="75">
        <f t="shared" si="4"/>
        <v>0</v>
      </c>
      <c r="M32" s="314">
        <f t="shared" si="5"/>
        <v>0</v>
      </c>
      <c r="N32" s="645" t="s">
        <v>192</v>
      </c>
      <c r="O32" s="79"/>
    </row>
    <row r="33" spans="1:15" ht="11.25" customHeight="1">
      <c r="A33" s="104" t="s">
        <v>175</v>
      </c>
      <c r="B33" s="105"/>
      <c r="C33" s="586" t="s">
        <v>194</v>
      </c>
      <c r="D33" s="361">
        <f>[2]!F001P200F3000Personnel</f>
        <v>0</v>
      </c>
      <c r="E33" s="745">
        <f>D33</f>
        <v>0</v>
      </c>
      <c r="F33" s="1302">
        <v>0</v>
      </c>
      <c r="G33" s="1302">
        <v>0</v>
      </c>
      <c r="H33" s="1302">
        <v>0</v>
      </c>
      <c r="I33" s="1302">
        <v>0</v>
      </c>
      <c r="J33" s="1299">
        <v>0</v>
      </c>
      <c r="K33" s="363">
        <f>[2]!F001P200F3000</f>
        <v>1787</v>
      </c>
      <c r="L33" s="75">
        <f t="shared" si="4"/>
        <v>0</v>
      </c>
      <c r="M33" s="314">
        <f t="shared" si="5"/>
        <v>-1</v>
      </c>
      <c r="N33" s="645" t="s">
        <v>194</v>
      </c>
      <c r="O33" s="79"/>
    </row>
    <row r="34" spans="1:15" ht="11.25" customHeight="1">
      <c r="A34" s="666" t="s">
        <v>584</v>
      </c>
      <c r="B34" s="111"/>
      <c r="C34" s="655" t="s">
        <v>195</v>
      </c>
      <c r="D34" s="254">
        <f>SUM(D23:D33)</f>
        <v>835.5</v>
      </c>
      <c r="E34" s="254">
        <f aca="true" t="shared" si="6" ref="E34:J34">E24+SUM(E26:E33)</f>
        <v>835</v>
      </c>
      <c r="F34" s="338">
        <f t="shared" si="6"/>
        <v>32732478</v>
      </c>
      <c r="G34" s="338">
        <f t="shared" si="6"/>
        <v>10872281</v>
      </c>
      <c r="H34" s="338">
        <f t="shared" si="6"/>
        <v>1394404</v>
      </c>
      <c r="I34" s="338">
        <f t="shared" si="6"/>
        <v>62705</v>
      </c>
      <c r="J34" s="166">
        <f t="shared" si="6"/>
        <v>835</v>
      </c>
      <c r="K34" s="363">
        <f>SUM(K23:K33)</f>
        <v>40149912</v>
      </c>
      <c r="L34" s="166">
        <f>SUM(L23:L33)</f>
        <v>45062703</v>
      </c>
      <c r="M34" s="314">
        <f t="shared" si="5"/>
        <v>0.122</v>
      </c>
      <c r="N34" s="645" t="s">
        <v>195</v>
      </c>
      <c r="O34" s="79"/>
    </row>
    <row r="35" spans="1:15" ht="11.25" customHeight="1">
      <c r="A35" s="104" t="s">
        <v>188</v>
      </c>
      <c r="B35" s="105"/>
      <c r="C35" s="586" t="s">
        <v>197</v>
      </c>
      <c r="D35" s="813">
        <f>[2]!F001P400Personnel</f>
        <v>199</v>
      </c>
      <c r="E35" s="798">
        <f>D35-6</f>
        <v>193</v>
      </c>
      <c r="F35" s="1333">
        <f>5603811+300000</f>
        <v>5903811</v>
      </c>
      <c r="G35" s="1333">
        <f>2167491+70000</f>
        <v>2237491</v>
      </c>
      <c r="H35" s="1333">
        <v>1626826</v>
      </c>
      <c r="I35" s="1333">
        <f>1219640+500000</f>
        <v>1719640</v>
      </c>
      <c r="J35" s="1303">
        <v>5473</v>
      </c>
      <c r="K35" s="809">
        <f>[2]!F001P400</f>
        <v>10664862</v>
      </c>
      <c r="L35" s="733">
        <f>SUM(F35:J35)</f>
        <v>11493241</v>
      </c>
      <c r="M35" s="314">
        <f>IF(K35=L35,0,IF(K35&gt;0,(L35-K35)/K35,"--"))</f>
        <v>0.078</v>
      </c>
      <c r="N35" s="645" t="s">
        <v>197</v>
      </c>
      <c r="O35" s="79"/>
    </row>
    <row r="36" spans="1:15" ht="11.25" customHeight="1">
      <c r="A36" s="782" t="s">
        <v>399</v>
      </c>
      <c r="B36" s="727"/>
      <c r="C36" s="800"/>
      <c r="D36" s="1394">
        <f>[3]!DesegFTEPY</f>
        <v>0</v>
      </c>
      <c r="E36" s="1394">
        <f>[3]!DesegFTEBY</f>
        <v>0</v>
      </c>
      <c r="F36" s="1396">
        <f>[3]!DesegTotalMOO6100</f>
        <v>0</v>
      </c>
      <c r="G36" s="1396">
        <f>[3]!DesegTotalMOO6200</f>
        <v>0</v>
      </c>
      <c r="H36" s="1396">
        <f>[3]!DesegTotalMOO630064006500</f>
        <v>0</v>
      </c>
      <c r="I36" s="1396">
        <f>[3]!DesegTotalMOO6600</f>
        <v>0</v>
      </c>
      <c r="J36" s="1396">
        <f>[3]!DesegTotalMOO6800</f>
        <v>0</v>
      </c>
      <c r="K36" s="1396">
        <f>[3]!DesegTotalMOPY</f>
        <v>0</v>
      </c>
      <c r="L36" s="1396">
        <f>[3]!DesegTotalMOBY</f>
        <v>0</v>
      </c>
      <c r="M36" s="1399">
        <f>[3]!DesegTotalMOPercent</f>
        <v>0</v>
      </c>
      <c r="N36" s="645"/>
      <c r="O36" s="79"/>
    </row>
    <row r="37" spans="1:15" ht="11.25" customHeight="1">
      <c r="A37" s="666" t="s">
        <v>400</v>
      </c>
      <c r="B37" s="612"/>
      <c r="C37" s="655" t="s">
        <v>199</v>
      </c>
      <c r="D37" s="1395"/>
      <c r="E37" s="1395"/>
      <c r="F37" s="1398"/>
      <c r="G37" s="1398"/>
      <c r="H37" s="1398"/>
      <c r="I37" s="1398"/>
      <c r="J37" s="1398"/>
      <c r="K37" s="1397"/>
      <c r="L37" s="1397"/>
      <c r="M37" s="1400"/>
      <c r="N37" s="645" t="s">
        <v>199</v>
      </c>
      <c r="O37" s="79"/>
    </row>
    <row r="38" spans="1:15" ht="11.25" customHeight="1">
      <c r="A38" s="120" t="s">
        <v>193</v>
      </c>
      <c r="B38" s="111"/>
      <c r="C38" s="1073" t="s">
        <v>201</v>
      </c>
      <c r="D38" s="362">
        <f>[2]!F001P530Personnel</f>
        <v>0</v>
      </c>
      <c r="E38" s="252">
        <v>0</v>
      </c>
      <c r="F38" s="1300">
        <v>0</v>
      </c>
      <c r="G38" s="1300">
        <v>0</v>
      </c>
      <c r="H38" s="1300">
        <v>0</v>
      </c>
      <c r="I38" s="1300">
        <v>0</v>
      </c>
      <c r="J38" s="1300">
        <v>0</v>
      </c>
      <c r="K38" s="364">
        <f>[2]!F001P530</f>
        <v>0</v>
      </c>
      <c r="L38" s="75">
        <f>SUM(F38:J38)</f>
        <v>0</v>
      </c>
      <c r="M38" s="315">
        <f>IF(K38=L38,0,IF(K38&gt;0,(L38-K38)/K38,"--"))</f>
        <v>0</v>
      </c>
      <c r="N38" s="645" t="s">
        <v>201</v>
      </c>
      <c r="O38" s="79"/>
    </row>
    <row r="39" spans="1:15" ht="11.25" customHeight="1">
      <c r="A39" s="104" t="s">
        <v>395</v>
      </c>
      <c r="B39" s="105"/>
      <c r="C39" s="1273" t="s">
        <v>167</v>
      </c>
      <c r="D39" s="1383">
        <f>'[2]Page 1'!$E$41</f>
        <v>0</v>
      </c>
      <c r="E39" s="1383">
        <v>0</v>
      </c>
      <c r="F39" s="1385">
        <v>0</v>
      </c>
      <c r="G39" s="1385">
        <v>0</v>
      </c>
      <c r="H39" s="1385">
        <v>0</v>
      </c>
      <c r="I39" s="1385">
        <v>0</v>
      </c>
      <c r="J39" s="1385">
        <v>0</v>
      </c>
      <c r="K39" s="1401">
        <f>[2]!F001P540</f>
        <v>0</v>
      </c>
      <c r="L39" s="1401">
        <f>SUM(F39:J40)</f>
        <v>0</v>
      </c>
      <c r="M39" s="1375">
        <f>IF(K39=L39,0,IF(K39&gt;0,(L39-K39)/K39,"--"))</f>
        <v>0</v>
      </c>
      <c r="N39" s="645" t="s">
        <v>167</v>
      </c>
      <c r="O39" s="79"/>
    </row>
    <row r="40" spans="1:15" ht="11.25" customHeight="1">
      <c r="A40" s="120" t="s">
        <v>715</v>
      </c>
      <c r="B40" s="612"/>
      <c r="C40" s="1272" t="s">
        <v>202</v>
      </c>
      <c r="D40" s="1384"/>
      <c r="E40" s="1384"/>
      <c r="F40" s="1386"/>
      <c r="G40" s="1386"/>
      <c r="H40" s="1386"/>
      <c r="I40" s="1386"/>
      <c r="J40" s="1386"/>
      <c r="K40" s="1378"/>
      <c r="L40" s="1403"/>
      <c r="M40" s="1376"/>
      <c r="N40" s="645" t="s">
        <v>202</v>
      </c>
      <c r="O40" s="79"/>
    </row>
    <row r="41" spans="1:15" ht="11.25" customHeight="1">
      <c r="A41" s="665" t="s">
        <v>480</v>
      </c>
      <c r="B41" s="331"/>
      <c r="C41" s="1073" t="s">
        <v>218</v>
      </c>
      <c r="D41" s="362">
        <f>[2]!F001P550Personnel</f>
        <v>18.5</v>
      </c>
      <c r="E41" s="873">
        <v>18.5</v>
      </c>
      <c r="F41" s="1307">
        <v>774316</v>
      </c>
      <c r="G41" s="1307">
        <v>209349</v>
      </c>
      <c r="H41" s="1307">
        <v>0</v>
      </c>
      <c r="I41" s="1307">
        <v>0</v>
      </c>
      <c r="J41" s="1307">
        <v>0</v>
      </c>
      <c r="K41" s="956">
        <f>[2]!F001P550</f>
        <v>1214633</v>
      </c>
      <c r="L41" s="874">
        <f>SUM(F41:J41)</f>
        <v>983665</v>
      </c>
      <c r="M41" s="315">
        <f>IF(K41=L41,0,IF(K41&gt;0,(L41-K41)/K41,"--"))</f>
        <v>-0.19</v>
      </c>
      <c r="N41" s="645" t="s">
        <v>218</v>
      </c>
      <c r="O41" s="79"/>
    </row>
    <row r="42" spans="1:15" ht="11.25" customHeight="1">
      <c r="A42" s="782" t="s">
        <v>686</v>
      </c>
      <c r="B42" s="727"/>
      <c r="C42" s="586"/>
      <c r="D42" s="1383">
        <f aca="true" t="shared" si="7" ref="D42:L42">SUM(D34:D41)+D22</f>
        <v>3468.15</v>
      </c>
      <c r="E42" s="1383">
        <f t="shared" si="7"/>
        <v>3413.15</v>
      </c>
      <c r="F42" s="1385">
        <f t="shared" si="7"/>
        <v>139319437</v>
      </c>
      <c r="G42" s="1385">
        <f t="shared" si="7"/>
        <v>45011607</v>
      </c>
      <c r="H42" s="1385">
        <f t="shared" si="7"/>
        <v>13347596</v>
      </c>
      <c r="I42" s="1385">
        <f t="shared" si="7"/>
        <v>10337866</v>
      </c>
      <c r="J42" s="1385">
        <f t="shared" si="7"/>
        <v>161005</v>
      </c>
      <c r="K42" s="1401">
        <f>[2]!F001TotalExp</f>
        <v>209498796</v>
      </c>
      <c r="L42" s="1401">
        <f t="shared" si="7"/>
        <v>208177511</v>
      </c>
      <c r="M42" s="1375">
        <f>IF(K42=L42,0,IF(K42&gt;0,(L42-K42)/K42,"--"))</f>
        <v>-0.006</v>
      </c>
      <c r="N42" s="645"/>
      <c r="O42" s="79"/>
    </row>
    <row r="43" spans="1:15" ht="11.25" customHeight="1">
      <c r="A43" s="666" t="s">
        <v>632</v>
      </c>
      <c r="B43" s="612"/>
      <c r="C43" s="655" t="s">
        <v>219</v>
      </c>
      <c r="D43" s="1384"/>
      <c r="E43" s="1384"/>
      <c r="F43" s="1386"/>
      <c r="G43" s="1386"/>
      <c r="H43" s="1386"/>
      <c r="I43" s="1386"/>
      <c r="J43" s="1386"/>
      <c r="K43" s="1378"/>
      <c r="L43" s="1378"/>
      <c r="M43" s="1376"/>
      <c r="N43" s="645" t="s">
        <v>219</v>
      </c>
      <c r="O43" s="79"/>
    </row>
    <row r="44" spans="1:15" ht="11.25" customHeight="1">
      <c r="A44" s="105"/>
      <c r="B44" s="105"/>
      <c r="C44" s="79"/>
      <c r="D44" s="79"/>
      <c r="E44" s="79"/>
      <c r="F44" s="79"/>
      <c r="G44" s="79"/>
      <c r="H44" s="79"/>
      <c r="I44" s="79"/>
      <c r="J44" s="79"/>
      <c r="K44" s="79"/>
      <c r="L44" s="79"/>
      <c r="M44" s="79"/>
      <c r="N44" s="1078"/>
      <c r="O44" s="79"/>
    </row>
    <row r="45" spans="1:14" ht="11.25" customHeight="1">
      <c r="A45" s="517"/>
      <c r="B45" s="587"/>
      <c r="C45" s="587"/>
      <c r="D45" s="587"/>
      <c r="E45" s="587"/>
      <c r="F45" s="587"/>
      <c r="G45" s="1402" t="str">
        <f>IF(ROUND([0]!F001TotalExp,0)&lt;ROUND([0]!GBLBudgFY,0),CONCATENATE("The district has budgeted less in the M&amp;O Fund than the General Budget Limit as calculated on page 7 of 8 by ",TEXT([0]!GBLBudgFY-[0]!F001TotalExp,"$#,###"),"."),IF(ROUND([0]!F001TotalExp,0)&gt;ROUND([0]!GBLBudgFY,0),CONCATENATE("The district has budgeted greater in the M&amp;O Fund than the General Budget Limit as calculated on page 7 of 8 by ",TEXT(-[0]!GBLBudgFY+[0]!F001TotalExp,"$#,###"),"."),IF(ROUND([0]!F001TotalExp,0)=ROUND([0]!GBLBudgFY,0),CONCATENATE("The district has budgeted an amount in the M&amp;O Fund equal to the General Budget Limit as calculated on page 7 of 8."))))</f>
        <v>The district has budgeted an amount in the M&amp;O Fund equal to the General Budget Limit as calculated on page 7 of 8.</v>
      </c>
      <c r="H45" s="1402"/>
      <c r="I45" s="1402"/>
      <c r="J45" s="1402"/>
      <c r="K45" s="1402"/>
      <c r="L45" s="1402"/>
      <c r="M45" s="1402"/>
      <c r="N45" s="78"/>
    </row>
    <row r="46" spans="1:15" ht="12.75" customHeight="1">
      <c r="A46" s="267" t="s">
        <v>40</v>
      </c>
      <c r="B46" s="86"/>
      <c r="C46" s="86"/>
      <c r="D46" s="86"/>
      <c r="E46" s="86"/>
      <c r="F46" s="86"/>
      <c r="G46" s="86"/>
      <c r="H46" s="79"/>
      <c r="I46" s="91"/>
      <c r="J46" s="86"/>
      <c r="K46" s="86"/>
      <c r="L46" s="86"/>
      <c r="M46" s="91"/>
      <c r="N46" s="89"/>
      <c r="O46" s="79"/>
    </row>
    <row r="47" ht="12.75" customHeight="1">
      <c r="O47" s="79"/>
    </row>
    <row r="48" ht="11.25" customHeight="1">
      <c r="O48" s="86"/>
    </row>
  </sheetData>
  <sheetProtection sheet="1" formatCells="0" formatColumns="0" formatRows="0"/>
  <mergeCells count="49">
    <mergeCell ref="M42:M43"/>
    <mergeCell ref="H42:H43"/>
    <mergeCell ref="G45:M45"/>
    <mergeCell ref="M39:M40"/>
    <mergeCell ref="L42:L43"/>
    <mergeCell ref="L39:L40"/>
    <mergeCell ref="K42:K43"/>
    <mergeCell ref="J42:J43"/>
    <mergeCell ref="I42:I43"/>
    <mergeCell ref="M36:M37"/>
    <mergeCell ref="E39:E40"/>
    <mergeCell ref="F39:F40"/>
    <mergeCell ref="I39:I40"/>
    <mergeCell ref="E36:E37"/>
    <mergeCell ref="J36:J37"/>
    <mergeCell ref="J39:J40"/>
    <mergeCell ref="K39:K40"/>
    <mergeCell ref="H39:H40"/>
    <mergeCell ref="G39:G40"/>
    <mergeCell ref="K36:K37"/>
    <mergeCell ref="L36:L37"/>
    <mergeCell ref="D39:D40"/>
    <mergeCell ref="F36:F37"/>
    <mergeCell ref="G36:G37"/>
    <mergeCell ref="H36:H37"/>
    <mergeCell ref="I36:I37"/>
    <mergeCell ref="D42:D43"/>
    <mergeCell ref="E42:E43"/>
    <mergeCell ref="F42:F43"/>
    <mergeCell ref="G42:G43"/>
    <mergeCell ref="B1:E1"/>
    <mergeCell ref="D23:D24"/>
    <mergeCell ref="D7:D8"/>
    <mergeCell ref="D9:D10"/>
    <mergeCell ref="D25:D26"/>
    <mergeCell ref="D36:D37"/>
    <mergeCell ref="K7:K8"/>
    <mergeCell ref="K9:K10"/>
    <mergeCell ref="K23:K24"/>
    <mergeCell ref="K25:K26"/>
    <mergeCell ref="M23:M24"/>
    <mergeCell ref="L25:L26"/>
    <mergeCell ref="M25:M26"/>
    <mergeCell ref="M1:N1"/>
    <mergeCell ref="M9:M10"/>
    <mergeCell ref="M7:M8"/>
    <mergeCell ref="L7:L8"/>
    <mergeCell ref="L23:L24"/>
    <mergeCell ref="L9:L10"/>
  </mergeCells>
  <hyperlinks>
    <hyperlink ref="C12" location="Page1l4" display="4."/>
    <hyperlink ref="C17" location="Page1l9" display="9."/>
    <hyperlink ref="C38" location="Page1l27" display="27."/>
    <hyperlink ref="C40" location="Page1l28" display="28."/>
    <hyperlink ref="C41" location="Page1l29" display="29."/>
  </hyperlinks>
  <printOptions horizontalCentered="1"/>
  <pageMargins left="0.25" right="0.25" top="0.25" bottom="0.25" header="0" footer="0.25"/>
  <pageSetup fitToHeight="1" fitToWidth="1" horizontalDpi="600" verticalDpi="600" orientation="landscape" paperSize="5" r:id="rId2"/>
  <headerFooter alignWithMargins="0">
    <oddFooter>&amp;C&amp;A</oddFooter>
  </headerFooter>
  <rowBreaks count="1" manualBreakCount="1">
    <brk id="47" max="65535" man="1"/>
  </rowBreaks>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Z49"/>
  <sheetViews>
    <sheetView showGridLines="0" defaultGridColor="0" zoomScale="130" zoomScaleNormal="130" zoomScalePageLayoutView="0" colorId="22" workbookViewId="0" topLeftCell="A1">
      <selection activeCell="Q33" sqref="Q33"/>
    </sheetView>
  </sheetViews>
  <sheetFormatPr defaultColWidth="9.77734375" defaultRowHeight="15"/>
  <cols>
    <col min="1" max="1" width="3.77734375" style="1" customWidth="1"/>
    <col min="2" max="2" width="11.77734375" style="1" customWidth="1"/>
    <col min="3" max="3" width="5.77734375" style="1" customWidth="1"/>
    <col min="4" max="4" width="7.77734375" style="1" customWidth="1"/>
    <col min="5" max="8" width="8.77734375" style="1" customWidth="1"/>
    <col min="9" max="9" width="2.99609375" style="1" customWidth="1"/>
    <col min="10" max="10" width="9.77734375" style="1" customWidth="1"/>
    <col min="11" max="11" width="2.6640625" style="1" customWidth="1"/>
    <col min="12" max="12" width="8.88671875" style="1" customWidth="1"/>
    <col min="13" max="13" width="10.3359375" style="1" customWidth="1"/>
    <col min="14" max="14" width="5.21484375" style="1" customWidth="1"/>
    <col min="15" max="15" width="10.99609375" style="1" customWidth="1"/>
    <col min="16" max="16" width="4.4453125" style="1" customWidth="1"/>
    <col min="17" max="17" width="3.4453125" style="1" customWidth="1"/>
    <col min="18" max="18" width="10.10546875" style="1" customWidth="1"/>
    <col min="19" max="19" width="9.99609375" style="1" customWidth="1"/>
    <col min="20" max="20" width="2.99609375" style="1" customWidth="1"/>
    <col min="21" max="21" width="9.77734375" style="1" customWidth="1"/>
    <col min="22" max="16384" width="9.77734375" style="4" customWidth="1"/>
  </cols>
  <sheetData>
    <row r="1" spans="1:21" ht="12" customHeight="1">
      <c r="A1" s="1405" t="s">
        <v>139</v>
      </c>
      <c r="B1" s="1406"/>
      <c r="C1" s="1387" t="str">
        <f>Cover!C1</f>
        <v>Gilbert Public Schools</v>
      </c>
      <c r="D1" s="1407"/>
      <c r="E1" s="1407"/>
      <c r="F1" s="1407"/>
      <c r="G1" s="79"/>
      <c r="H1" s="457" t="s">
        <v>140</v>
      </c>
      <c r="I1" s="1387" t="str">
        <f>Cover!H1</f>
        <v>Maricopa</v>
      </c>
      <c r="J1" s="1404"/>
      <c r="K1" s="499"/>
      <c r="L1" s="79"/>
      <c r="M1" s="79"/>
      <c r="N1" s="457" t="s">
        <v>141</v>
      </c>
      <c r="O1" s="972" t="str">
        <f>CTD</f>
        <v>070241000</v>
      </c>
      <c r="P1" s="79"/>
      <c r="Q1" s="625" t="s">
        <v>172</v>
      </c>
      <c r="R1" s="624" t="str">
        <f>Cover!C8</f>
        <v>Revised #2</v>
      </c>
      <c r="T1" s="81"/>
      <c r="U1" s="79"/>
    </row>
    <row r="2" spans="1:21" ht="12" customHeight="1">
      <c r="A2" s="78"/>
      <c r="B2" s="79"/>
      <c r="C2" s="82"/>
      <c r="D2" s="82"/>
      <c r="E2" s="82"/>
      <c r="F2" s="82"/>
      <c r="G2" s="79"/>
      <c r="H2" s="80"/>
      <c r="I2" s="83"/>
      <c r="J2" s="83"/>
      <c r="K2" s="83"/>
      <c r="L2" s="79"/>
      <c r="M2" s="79"/>
      <c r="N2" s="79"/>
      <c r="O2" s="79"/>
      <c r="P2" s="79"/>
      <c r="Q2" s="79"/>
      <c r="R2" s="80"/>
      <c r="S2" s="82"/>
      <c r="T2" s="82"/>
      <c r="U2" s="79"/>
    </row>
    <row r="3" spans="1:21" ht="11.25" customHeight="1">
      <c r="A3" s="79"/>
      <c r="B3" s="79"/>
      <c r="C3" s="79"/>
      <c r="D3" s="79"/>
      <c r="E3" s="79"/>
      <c r="F3" s="79"/>
      <c r="G3" s="79"/>
      <c r="H3" s="79"/>
      <c r="J3" s="79"/>
      <c r="K3" s="79"/>
      <c r="L3" s="79"/>
      <c r="M3" s="84"/>
      <c r="N3" s="84"/>
      <c r="O3" s="85"/>
      <c r="P3" s="79"/>
      <c r="Q3" s="224"/>
      <c r="R3" s="224"/>
      <c r="S3" s="224"/>
      <c r="T3" s="86"/>
      <c r="U3" s="79"/>
    </row>
    <row r="4" spans="1:21" ht="12" customHeight="1">
      <c r="A4" s="1411" t="s">
        <v>780</v>
      </c>
      <c r="B4" s="1411"/>
      <c r="C4" s="1411"/>
      <c r="D4" s="1411"/>
      <c r="E4" s="1411"/>
      <c r="F4" s="1411"/>
      <c r="G4" s="1411"/>
      <c r="H4" s="79"/>
      <c r="J4" s="87" t="s">
        <v>167</v>
      </c>
      <c r="K4" s="87" t="s">
        <v>167</v>
      </c>
      <c r="L4" s="87"/>
      <c r="M4" s="84"/>
      <c r="N4" s="84"/>
      <c r="O4" s="85"/>
      <c r="P4" s="85"/>
      <c r="Q4" s="85"/>
      <c r="R4" s="86"/>
      <c r="U4" s="4"/>
    </row>
    <row r="5" spans="2:21" ht="12" customHeight="1">
      <c r="B5" s="86"/>
      <c r="C5" s="86"/>
      <c r="D5" s="86"/>
      <c r="E5" s="85"/>
      <c r="F5" s="85"/>
      <c r="G5" s="725"/>
      <c r="H5" s="85"/>
      <c r="J5" s="86"/>
      <c r="K5" s="86"/>
      <c r="L5" s="86"/>
      <c r="M5" s="86"/>
      <c r="N5" s="86"/>
      <c r="O5" s="85"/>
      <c r="P5" s="85"/>
      <c r="Q5" s="85"/>
      <c r="R5" s="86"/>
      <c r="U5" s="4"/>
    </row>
    <row r="6" spans="1:21" ht="15" customHeight="1" thickBot="1">
      <c r="A6" s="685" t="s">
        <v>627</v>
      </c>
      <c r="B6" s="535"/>
      <c r="C6" s="535"/>
      <c r="D6" s="86"/>
      <c r="E6" s="85"/>
      <c r="F6" s="85" t="s">
        <v>564</v>
      </c>
      <c r="G6" s="85" t="s">
        <v>383</v>
      </c>
      <c r="L6" s="535"/>
      <c r="M6" s="535"/>
      <c r="N6" s="879"/>
      <c r="O6" s="880"/>
      <c r="P6" s="878"/>
      <c r="Q6" s="878"/>
      <c r="R6" s="346"/>
      <c r="U6" s="4"/>
    </row>
    <row r="7" spans="1:26" ht="12.75" customHeight="1">
      <c r="A7" s="847" t="s">
        <v>118</v>
      </c>
      <c r="B7" s="685" t="s">
        <v>631</v>
      </c>
      <c r="C7" s="1059"/>
      <c r="D7" s="1059"/>
      <c r="E7" s="876"/>
      <c r="F7" s="1237">
        <f>[2]!F001P200Subtotal</f>
        <v>36011946</v>
      </c>
      <c r="G7" s="1215">
        <f>39743350+638431-9529+99097+9910</f>
        <v>40481259</v>
      </c>
      <c r="H7" s="251" t="s">
        <v>118</v>
      </c>
      <c r="J7" s="291"/>
      <c r="K7" s="1271" t="s">
        <v>497</v>
      </c>
      <c r="L7" s="1276"/>
      <c r="M7" s="1276"/>
      <c r="N7" s="1276"/>
      <c r="O7" s="1244"/>
      <c r="P7" s="79"/>
      <c r="Q7" s="79"/>
      <c r="R7" s="79"/>
      <c r="U7" s="4"/>
      <c r="Y7" s="954"/>
      <c r="Z7" s="954"/>
    </row>
    <row r="8" spans="1:26" ht="12.75" customHeight="1">
      <c r="A8" s="250" t="s">
        <v>120</v>
      </c>
      <c r="B8" s="86" t="s">
        <v>207</v>
      </c>
      <c r="C8" s="86"/>
      <c r="D8" s="86"/>
      <c r="E8" s="875"/>
      <c r="F8" s="794">
        <f>[2]!SPEDGiftedEdBudgFY</f>
        <v>1864386</v>
      </c>
      <c r="G8" s="1216">
        <v>2056139</v>
      </c>
      <c r="H8" s="251" t="s">
        <v>120</v>
      </c>
      <c r="J8" s="291"/>
      <c r="K8" s="535" t="s">
        <v>470</v>
      </c>
      <c r="L8" s="587"/>
      <c r="M8" s="587"/>
      <c r="N8" s="957">
        <v>6350</v>
      </c>
      <c r="O8" s="1238">
        <v>55000</v>
      </c>
      <c r="P8" s="79"/>
      <c r="Q8" s="79"/>
      <c r="R8" s="79"/>
      <c r="U8" s="4"/>
      <c r="Y8" s="954"/>
      <c r="Z8" s="954"/>
    </row>
    <row r="9" spans="1:26" ht="12.75" customHeight="1">
      <c r="A9" s="250" t="s">
        <v>127</v>
      </c>
      <c r="B9" s="86" t="s">
        <v>209</v>
      </c>
      <c r="C9" s="535"/>
      <c r="D9" s="535"/>
      <c r="E9" s="877"/>
      <c r="F9" s="794">
        <f>[2]!SPEDRemedialEdBudgFY</f>
        <v>0</v>
      </c>
      <c r="G9" s="1216">
        <v>0</v>
      </c>
      <c r="H9" s="251" t="s">
        <v>127</v>
      </c>
      <c r="J9" s="291"/>
      <c r="K9" s="534" t="s">
        <v>471</v>
      </c>
      <c r="L9" s="587"/>
      <c r="M9" s="587"/>
      <c r="N9" s="958">
        <v>6330</v>
      </c>
      <c r="O9" s="959"/>
      <c r="P9" s="79"/>
      <c r="Q9" s="79"/>
      <c r="R9" s="79"/>
      <c r="U9" s="4"/>
      <c r="Y9" s="954"/>
      <c r="Z9" s="954"/>
    </row>
    <row r="10" spans="1:26" ht="12.75" customHeight="1">
      <c r="A10" s="846" t="s">
        <v>131</v>
      </c>
      <c r="B10" s="535" t="s">
        <v>252</v>
      </c>
      <c r="C10" s="535"/>
      <c r="D10" s="535"/>
      <c r="E10" s="877"/>
      <c r="F10" s="794">
        <f>[2]!SPEDELLIncCostBudgFY</f>
        <v>151530</v>
      </c>
      <c r="G10" s="1216">
        <v>175000</v>
      </c>
      <c r="H10" s="251" t="s">
        <v>131</v>
      </c>
      <c r="J10" s="291"/>
      <c r="K10" s="2"/>
      <c r="L10" s="82"/>
      <c r="M10" s="82"/>
      <c r="N10" s="82"/>
      <c r="O10" s="82"/>
      <c r="P10" s="82"/>
      <c r="Q10" s="82"/>
      <c r="R10" s="82"/>
      <c r="U10" s="4"/>
      <c r="Y10" s="954"/>
      <c r="Z10" s="954"/>
    </row>
    <row r="11" spans="1:26" ht="12.75" customHeight="1">
      <c r="A11" s="847" t="s">
        <v>132</v>
      </c>
      <c r="B11" s="535" t="s">
        <v>253</v>
      </c>
      <c r="C11" s="86"/>
      <c r="D11" s="86"/>
      <c r="E11" s="875"/>
      <c r="F11" s="794">
        <f>[2]!SPEDELLCompInstrBudgFY</f>
        <v>0</v>
      </c>
      <c r="G11" s="1216">
        <v>0</v>
      </c>
      <c r="H11" s="297" t="s">
        <v>132</v>
      </c>
      <c r="J11" s="291"/>
      <c r="K11" s="82"/>
      <c r="L11" s="98"/>
      <c r="M11" s="259"/>
      <c r="N11" s="316"/>
      <c r="O11" s="98"/>
      <c r="P11" s="98"/>
      <c r="Q11" s="98"/>
      <c r="R11" s="98"/>
      <c r="U11" s="4"/>
      <c r="Y11" s="954"/>
      <c r="Z11" s="954"/>
    </row>
    <row r="12" spans="1:26" ht="12.75" customHeight="1">
      <c r="A12" s="847" t="s">
        <v>133</v>
      </c>
      <c r="B12" s="86" t="s">
        <v>697</v>
      </c>
      <c r="C12" s="79"/>
      <c r="D12" s="79"/>
      <c r="E12" s="875"/>
      <c r="F12" s="794">
        <f>[2]!SPEDVocTechEdBudgFY</f>
        <v>1994034</v>
      </c>
      <c r="G12" s="1216">
        <v>2199122</v>
      </c>
      <c r="H12" s="251" t="s">
        <v>133</v>
      </c>
      <c r="J12" s="291"/>
      <c r="K12" s="258" t="s">
        <v>643</v>
      </c>
      <c r="L12" s="532"/>
      <c r="M12" s="82"/>
      <c r="N12" s="98"/>
      <c r="O12" s="531"/>
      <c r="P12" s="316"/>
      <c r="Q12" s="98"/>
      <c r="R12" s="98"/>
      <c r="U12" s="4"/>
      <c r="Y12" s="954"/>
      <c r="Z12" s="954"/>
    </row>
    <row r="13" spans="1:26" ht="12.75" customHeight="1">
      <c r="A13" s="766" t="s">
        <v>134</v>
      </c>
      <c r="B13" s="86" t="s">
        <v>211</v>
      </c>
      <c r="C13" s="86"/>
      <c r="D13" s="86"/>
      <c r="E13" s="875"/>
      <c r="F13" s="1217">
        <f>[2]!SPEDCareerEdBudgFY</f>
        <v>128016</v>
      </c>
      <c r="G13" s="1218">
        <v>151183</v>
      </c>
      <c r="H13" s="767" t="s">
        <v>134</v>
      </c>
      <c r="J13" s="291"/>
      <c r="K13" s="98" t="s">
        <v>53</v>
      </c>
      <c r="L13" s="82"/>
      <c r="M13" s="82"/>
      <c r="N13" s="82"/>
      <c r="O13" s="82"/>
      <c r="P13" s="82"/>
      <c r="Q13" s="259"/>
      <c r="R13" s="574">
        <v>0</v>
      </c>
      <c r="U13" s="4"/>
      <c r="Y13" s="954"/>
      <c r="Z13" s="954"/>
    </row>
    <row r="14" spans="1:26" ht="12.75" customHeight="1" thickBot="1">
      <c r="A14" s="847" t="s">
        <v>176</v>
      </c>
      <c r="B14" s="1242" t="s">
        <v>698</v>
      </c>
      <c r="C14" s="1242"/>
      <c r="D14" s="1242"/>
      <c r="E14" s="875"/>
      <c r="F14" s="1241"/>
      <c r="G14" s="1240"/>
      <c r="H14" s="767" t="s">
        <v>176</v>
      </c>
      <c r="J14" s="291"/>
      <c r="K14" s="98"/>
      <c r="L14" s="82"/>
      <c r="M14" s="82"/>
      <c r="N14" s="82"/>
      <c r="O14" s="82"/>
      <c r="P14" s="82"/>
      <c r="Q14" s="259"/>
      <c r="R14" s="1290"/>
      <c r="U14" s="4"/>
      <c r="Y14" s="954"/>
      <c r="Z14" s="954"/>
    </row>
    <row r="15" spans="1:26" ht="12.75" customHeight="1">
      <c r="A15" s="1187" t="s">
        <v>177</v>
      </c>
      <c r="B15" s="86" t="s">
        <v>730</v>
      </c>
      <c r="C15" s="86"/>
      <c r="D15" s="86"/>
      <c r="E15" s="1412"/>
      <c r="F15" s="1408">
        <f>SUM(F7:F14)</f>
        <v>40149912</v>
      </c>
      <c r="G15" s="1408">
        <f>IF(SUM(G7:G14)=SUM('Page 1'!L34:L34),SUM(G7:G14),"     Invalid")</f>
        <v>45062703</v>
      </c>
      <c r="H15" s="251"/>
      <c r="J15" s="291"/>
      <c r="K15" s="797" t="s">
        <v>618</v>
      </c>
      <c r="L15" s="532"/>
      <c r="M15" s="532"/>
      <c r="N15" s="532"/>
      <c r="O15" s="532"/>
      <c r="P15" s="532"/>
      <c r="Q15" s="533"/>
      <c r="R15" s="534"/>
      <c r="U15" s="4"/>
      <c r="Y15" s="954"/>
      <c r="Z15" s="954"/>
    </row>
    <row r="16" spans="1:26" ht="12.75" customHeight="1" thickBot="1">
      <c r="A16" s="3"/>
      <c r="B16" s="535" t="s">
        <v>585</v>
      </c>
      <c r="C16" s="535"/>
      <c r="D16" s="535"/>
      <c r="E16" s="1413"/>
      <c r="F16" s="1409"/>
      <c r="G16" s="1417"/>
      <c r="H16" s="768" t="s">
        <v>177</v>
      </c>
      <c r="J16" s="291"/>
      <c r="K16" s="79"/>
      <c r="L16" s="79"/>
      <c r="M16" s="79"/>
      <c r="N16" s="79"/>
      <c r="O16" s="79"/>
      <c r="P16" s="79"/>
      <c r="Q16" s="79"/>
      <c r="R16" s="79"/>
      <c r="U16" s="4"/>
      <c r="Y16" s="954"/>
      <c r="Z16" s="954"/>
    </row>
    <row r="17" spans="1:26" ht="12.75" customHeight="1" thickTop="1">
      <c r="A17" s="3"/>
      <c r="B17" s="86"/>
      <c r="C17" s="86"/>
      <c r="D17" s="86"/>
      <c r="E17" s="86"/>
      <c r="F17" s="535"/>
      <c r="G17" s="535"/>
      <c r="H17" s="89"/>
      <c r="J17" s="291"/>
      <c r="K17" s="79"/>
      <c r="L17" s="86"/>
      <c r="M17" s="79"/>
      <c r="N17" s="88"/>
      <c r="O17" s="128"/>
      <c r="P17" s="316"/>
      <c r="Q17" s="86"/>
      <c r="R17" s="79"/>
      <c r="U17" s="4"/>
      <c r="Y17" s="954"/>
      <c r="Z17" s="954"/>
    </row>
    <row r="18" spans="1:26" ht="12.75" customHeight="1">
      <c r="A18" s="79"/>
      <c r="B18" s="86"/>
      <c r="C18" s="86"/>
      <c r="D18" s="86"/>
      <c r="E18" s="86"/>
      <c r="F18" s="535"/>
      <c r="G18" s="535"/>
      <c r="H18" s="79"/>
      <c r="J18" s="291"/>
      <c r="K18" s="1271" t="s">
        <v>371</v>
      </c>
      <c r="L18" s="1271"/>
      <c r="M18" s="1276"/>
      <c r="N18" s="1276"/>
      <c r="O18" s="1276"/>
      <c r="P18" s="577"/>
      <c r="Q18" s="577"/>
      <c r="R18" s="577"/>
      <c r="U18" s="4"/>
      <c r="Y18" s="954"/>
      <c r="Z18" s="954"/>
    </row>
    <row r="19" spans="1:26" ht="12.75" customHeight="1">
      <c r="A19" s="93" t="s">
        <v>212</v>
      </c>
      <c r="B19" s="79"/>
      <c r="C19" s="91"/>
      <c r="D19" s="91"/>
      <c r="E19" s="91"/>
      <c r="F19" s="535"/>
      <c r="G19" s="535"/>
      <c r="H19" s="86"/>
      <c r="J19" s="291"/>
      <c r="K19" s="578" t="s">
        <v>496</v>
      </c>
      <c r="L19" s="579"/>
      <c r="M19" s="579"/>
      <c r="N19" s="579"/>
      <c r="O19" s="579"/>
      <c r="P19" s="579"/>
      <c r="Q19" s="626"/>
      <c r="R19" s="580">
        <v>288698</v>
      </c>
      <c r="U19" s="4"/>
      <c r="Y19" s="954"/>
      <c r="Z19" s="954"/>
    </row>
    <row r="20" spans="1:26" ht="12.75" customHeight="1">
      <c r="A20" s="95" t="s">
        <v>25</v>
      </c>
      <c r="B20" s="79"/>
      <c r="C20" s="91"/>
      <c r="D20" s="91"/>
      <c r="E20" s="79"/>
      <c r="F20" s="536" t="s">
        <v>213</v>
      </c>
      <c r="G20" s="1219">
        <f>SPEDTeacher</f>
        <v>12</v>
      </c>
      <c r="H20" s="86"/>
      <c r="J20" s="79"/>
      <c r="K20" s="581" t="s">
        <v>257</v>
      </c>
      <c r="L20" s="579"/>
      <c r="M20" s="579"/>
      <c r="N20" s="579"/>
      <c r="O20" s="579"/>
      <c r="P20" s="579"/>
      <c r="Q20" s="582"/>
      <c r="R20" s="582"/>
      <c r="S20" s="79"/>
      <c r="T20" s="79"/>
      <c r="U20" s="79"/>
      <c r="Y20" s="954"/>
      <c r="Z20" s="954"/>
    </row>
    <row r="21" spans="1:26" ht="12.75" customHeight="1">
      <c r="A21" s="79"/>
      <c r="B21" s="79"/>
      <c r="C21" s="79"/>
      <c r="D21" s="79"/>
      <c r="E21" s="79"/>
      <c r="F21" s="536" t="s">
        <v>214</v>
      </c>
      <c r="G21" s="1220">
        <f>SPEDStaff</f>
        <v>8</v>
      </c>
      <c r="H21" s="86"/>
      <c r="K21" s="581" t="s">
        <v>242</v>
      </c>
      <c r="L21" s="579"/>
      <c r="M21" s="579"/>
      <c r="N21" s="579"/>
      <c r="O21" s="579"/>
      <c r="P21" s="579"/>
      <c r="Q21" s="582"/>
      <c r="R21" s="582"/>
      <c r="S21" s="79"/>
      <c r="T21" s="79"/>
      <c r="U21" s="79"/>
      <c r="Y21" s="954"/>
      <c r="Z21" s="954"/>
    </row>
    <row r="22" spans="1:26" ht="12" customHeight="1">
      <c r="A22" s="79"/>
      <c r="B22" s="79"/>
      <c r="C22" s="79"/>
      <c r="D22" s="79"/>
      <c r="E22" s="79"/>
      <c r="F22" s="535"/>
      <c r="G22" s="535"/>
      <c r="H22" s="86"/>
      <c r="I22" s="1179"/>
      <c r="J22" s="79"/>
      <c r="K22" s="532"/>
      <c r="L22" s="532"/>
      <c r="M22" s="532"/>
      <c r="N22" s="532"/>
      <c r="O22" s="534"/>
      <c r="P22" s="534"/>
      <c r="Q22" s="534"/>
      <c r="R22" s="587"/>
      <c r="S22" s="79"/>
      <c r="T22" s="79"/>
      <c r="U22" s="79"/>
      <c r="Y22" s="954"/>
      <c r="Z22" s="954"/>
    </row>
    <row r="23" spans="1:26" ht="12.75" customHeight="1">
      <c r="A23" s="1410" t="s">
        <v>106</v>
      </c>
      <c r="B23" s="1410"/>
      <c r="C23" s="1410"/>
      <c r="D23" s="1410"/>
      <c r="E23" s="79"/>
      <c r="F23" s="587"/>
      <c r="G23" s="535"/>
      <c r="H23" s="86"/>
      <c r="J23" s="82"/>
      <c r="K23" s="583"/>
      <c r="L23" s="532"/>
      <c r="M23" s="532"/>
      <c r="N23" s="532"/>
      <c r="O23" s="534"/>
      <c r="P23" s="1079"/>
      <c r="Q23" s="533"/>
      <c r="R23" s="534"/>
      <c r="S23" s="98"/>
      <c r="T23" s="79"/>
      <c r="U23" s="79"/>
      <c r="Y23" s="954"/>
      <c r="Z23" s="954"/>
    </row>
    <row r="24" spans="1:26" ht="12.75" customHeight="1">
      <c r="A24" s="95" t="s">
        <v>24</v>
      </c>
      <c r="B24" s="79"/>
      <c r="C24" s="87"/>
      <c r="D24" s="79"/>
      <c r="E24" s="79"/>
      <c r="F24" s="1221" t="s">
        <v>564</v>
      </c>
      <c r="G24" s="1221" t="s">
        <v>383</v>
      </c>
      <c r="H24" s="79"/>
      <c r="J24" s="82"/>
      <c r="K24" s="1410" t="s">
        <v>710</v>
      </c>
      <c r="L24" s="1410"/>
      <c r="M24" s="1410"/>
      <c r="N24" s="1410"/>
      <c r="O24" s="1410"/>
      <c r="P24" s="1410"/>
      <c r="Q24" s="1081"/>
      <c r="R24" s="1082"/>
      <c r="S24" s="82"/>
      <c r="T24" s="79"/>
      <c r="U24" s="79"/>
      <c r="Y24" s="954"/>
      <c r="Z24" s="954"/>
    </row>
    <row r="25" spans="1:26" ht="12.75" customHeight="1">
      <c r="A25" s="79"/>
      <c r="B25" s="79"/>
      <c r="C25" s="87"/>
      <c r="D25" s="79"/>
      <c r="E25" s="79"/>
      <c r="F25" s="1222">
        <f>[2]!EstimatedFTECertified</f>
        <v>2127</v>
      </c>
      <c r="G25" s="1223">
        <v>2105</v>
      </c>
      <c r="H25" s="79"/>
      <c r="K25" s="1414"/>
      <c r="L25" s="1414"/>
      <c r="M25" s="1414"/>
      <c r="N25" s="1414"/>
      <c r="O25" s="1414"/>
      <c r="P25" s="1080"/>
      <c r="S25" s="82"/>
      <c r="T25" s="79"/>
      <c r="U25" s="79"/>
      <c r="Y25" s="954"/>
      <c r="Z25" s="954"/>
    </row>
    <row r="26" spans="1:26" ht="13.5" customHeight="1">
      <c r="A26" s="79"/>
      <c r="B26" s="79"/>
      <c r="C26" s="79"/>
      <c r="D26" s="79"/>
      <c r="E26" s="79"/>
      <c r="F26" s="587"/>
      <c r="G26" s="587"/>
      <c r="H26" s="79"/>
      <c r="J26" s="1243"/>
      <c r="K26" s="847" t="s">
        <v>118</v>
      </c>
      <c r="L26" s="1246" t="s">
        <v>793</v>
      </c>
      <c r="M26" s="1247"/>
      <c r="N26" s="1247"/>
      <c r="O26" s="1247"/>
      <c r="P26" s="1248"/>
      <c r="Q26" s="1248"/>
      <c r="R26" s="1249">
        <v>1964</v>
      </c>
      <c r="S26" s="82"/>
      <c r="T26" s="79"/>
      <c r="U26" s="79"/>
      <c r="Y26" s="954"/>
      <c r="Z26" s="954"/>
    </row>
    <row r="27" spans="2:26" ht="12.75" customHeight="1">
      <c r="B27" s="86"/>
      <c r="C27" s="79"/>
      <c r="D27" s="86"/>
      <c r="E27" s="86"/>
      <c r="F27" s="535"/>
      <c r="G27" s="587"/>
      <c r="H27" s="79"/>
      <c r="K27" s="847" t="s">
        <v>120</v>
      </c>
      <c r="L27" s="1246" t="s">
        <v>794</v>
      </c>
      <c r="M27" s="1247"/>
      <c r="N27" s="1247"/>
      <c r="O27" s="1247"/>
      <c r="P27" s="1248"/>
      <c r="Q27" s="1248"/>
      <c r="R27" s="1249">
        <v>1872.17</v>
      </c>
      <c r="S27" s="260"/>
      <c r="T27" s="79"/>
      <c r="U27" s="79"/>
      <c r="Y27" s="954"/>
      <c r="Z27" s="954"/>
    </row>
    <row r="28" spans="1:26" ht="13.5" customHeight="1">
      <c r="A28" s="567"/>
      <c r="B28" s="532"/>
      <c r="C28" s="569"/>
      <c r="D28" s="569"/>
      <c r="E28" s="532"/>
      <c r="F28" s="570"/>
      <c r="G28" s="571"/>
      <c r="H28" s="79"/>
      <c r="J28" s="79"/>
      <c r="K28" s="847" t="s">
        <v>127</v>
      </c>
      <c r="L28" s="1250" t="s">
        <v>781</v>
      </c>
      <c r="M28" s="1251"/>
      <c r="N28" s="1251"/>
      <c r="O28" s="1252"/>
      <c r="P28" s="1248"/>
      <c r="Q28" s="1248"/>
      <c r="R28" s="1253">
        <v>107552665</v>
      </c>
      <c r="S28" s="260"/>
      <c r="T28" s="79"/>
      <c r="U28" s="79"/>
      <c r="Y28" s="954"/>
      <c r="Z28" s="954"/>
    </row>
    <row r="29" spans="1:26" ht="5.25" customHeight="1">
      <c r="A29" s="568"/>
      <c r="B29" s="572"/>
      <c r="C29" s="572"/>
      <c r="D29" s="572"/>
      <c r="E29" s="572"/>
      <c r="F29" s="566"/>
      <c r="G29" s="573"/>
      <c r="H29" s="79"/>
      <c r="K29" s="847"/>
      <c r="L29" s="1250"/>
      <c r="M29" s="1251"/>
      <c r="N29" s="1251"/>
      <c r="O29" s="1252"/>
      <c r="P29" s="1248"/>
      <c r="Q29" s="1248"/>
      <c r="R29" s="1289"/>
      <c r="S29" s="260"/>
      <c r="T29" s="79"/>
      <c r="U29" s="79"/>
      <c r="Y29" s="1415"/>
      <c r="Z29" s="1415"/>
    </row>
    <row r="30" spans="1:26" ht="13.5" customHeight="1">
      <c r="A30" s="1418"/>
      <c r="B30" s="1419"/>
      <c r="C30" s="1419"/>
      <c r="D30" s="1419"/>
      <c r="E30" s="1419"/>
      <c r="F30" s="1419"/>
      <c r="G30" s="1420"/>
      <c r="H30" s="79"/>
      <c r="K30" s="847" t="s">
        <v>131</v>
      </c>
      <c r="L30" s="1250" t="s">
        <v>779</v>
      </c>
      <c r="M30" s="1247"/>
      <c r="N30" s="1247"/>
      <c r="O30" s="1254"/>
      <c r="P30" s="1248"/>
      <c r="Q30" s="1248"/>
      <c r="R30" s="1253">
        <v>107000000</v>
      </c>
      <c r="S30" s="260"/>
      <c r="T30" s="79"/>
      <c r="U30" s="79"/>
      <c r="Y30" s="1416"/>
      <c r="Z30" s="1416"/>
    </row>
    <row r="31" spans="1:21" ht="12.75" customHeight="1">
      <c r="A31" s="79"/>
      <c r="B31" s="79"/>
      <c r="C31" s="79"/>
      <c r="D31" s="79"/>
      <c r="E31" s="19"/>
      <c r="F31" s="82"/>
      <c r="G31" s="79"/>
      <c r="H31" s="79"/>
      <c r="I31" s="86"/>
      <c r="K31" s="1284" t="s">
        <v>132</v>
      </c>
      <c r="L31" s="1246" t="s">
        <v>755</v>
      </c>
      <c r="M31" s="1247"/>
      <c r="N31" s="1247"/>
      <c r="O31" s="1254"/>
      <c r="P31" s="1248"/>
      <c r="Q31" s="1248"/>
      <c r="R31" s="1255">
        <f>+R30*1.06%</f>
        <v>1134200</v>
      </c>
      <c r="S31" s="260"/>
      <c r="T31" s="79"/>
      <c r="U31" s="79"/>
    </row>
    <row r="32" spans="1:21" ht="12.75" customHeight="1">
      <c r="A32" s="79"/>
      <c r="B32" s="94"/>
      <c r="C32" s="94"/>
      <c r="D32" s="86"/>
      <c r="E32" s="79"/>
      <c r="F32" s="86"/>
      <c r="G32" s="91"/>
      <c r="H32" s="79"/>
      <c r="I32" s="84"/>
      <c r="J32" s="79"/>
      <c r="K32" s="847" t="s">
        <v>133</v>
      </c>
      <c r="L32" s="1246" t="s">
        <v>756</v>
      </c>
      <c r="M32" s="1247"/>
      <c r="N32" s="1247"/>
      <c r="O32" s="1254"/>
      <c r="P32" s="1248"/>
      <c r="Q32" s="1248"/>
      <c r="R32" s="1253">
        <f>+R31*0.115</f>
        <v>130433</v>
      </c>
      <c r="S32" s="260"/>
      <c r="T32" s="79"/>
      <c r="U32" s="79"/>
    </row>
    <row r="33" spans="1:21" ht="13.5" customHeight="1">
      <c r="A33" s="79"/>
      <c r="B33" s="79"/>
      <c r="C33" s="79"/>
      <c r="D33" s="79"/>
      <c r="E33" s="96"/>
      <c r="F33" s="79"/>
      <c r="G33" s="79"/>
      <c r="H33" s="79"/>
      <c r="I33" s="86"/>
      <c r="K33" s="847" t="s">
        <v>134</v>
      </c>
      <c r="L33" s="1246" t="s">
        <v>757</v>
      </c>
      <c r="M33" s="1247"/>
      <c r="N33" s="1247"/>
      <c r="O33" s="1254"/>
      <c r="P33" s="1248"/>
      <c r="Q33" s="1248"/>
      <c r="R33" s="1255">
        <f>R31*7.65%</f>
        <v>86766</v>
      </c>
      <c r="S33" s="260"/>
      <c r="T33" s="79"/>
      <c r="U33" s="79"/>
    </row>
    <row r="34" spans="9:21" ht="12.75" customHeight="1">
      <c r="I34" s="86"/>
      <c r="K34" s="1284" t="s">
        <v>176</v>
      </c>
      <c r="L34" s="1250" t="s">
        <v>782</v>
      </c>
      <c r="M34" s="1247"/>
      <c r="N34" s="1247"/>
      <c r="O34" s="1254"/>
      <c r="P34" s="1248"/>
      <c r="Q34" s="1248"/>
      <c r="R34" s="1255">
        <f>SUM(R31:R33)</f>
        <v>1351399</v>
      </c>
      <c r="S34" s="260"/>
      <c r="T34" s="82"/>
      <c r="U34" s="79"/>
    </row>
    <row r="35" spans="9:21" ht="12.75" customHeight="1">
      <c r="I35" s="86"/>
      <c r="K35" s="1248"/>
      <c r="L35" s="1256" t="s">
        <v>783</v>
      </c>
      <c r="M35" s="1256"/>
      <c r="N35" s="1256"/>
      <c r="O35" s="1256"/>
      <c r="P35" s="1256"/>
      <c r="Q35" s="1248"/>
      <c r="R35" s="1256"/>
      <c r="S35" s="260"/>
      <c r="T35" s="82"/>
      <c r="U35" s="79"/>
    </row>
    <row r="36" spans="9:21" ht="12.75" customHeight="1">
      <c r="I36" s="534"/>
      <c r="K36" s="1285"/>
      <c r="L36" s="534"/>
      <c r="M36" s="534"/>
      <c r="N36" s="534"/>
      <c r="O36" s="534"/>
      <c r="P36" s="534"/>
      <c r="Q36" s="1285"/>
      <c r="R36" s="534"/>
      <c r="S36" s="260"/>
      <c r="T36" s="79"/>
      <c r="U36" s="79"/>
    </row>
    <row r="37" spans="11:21" ht="12.75" customHeight="1">
      <c r="K37" s="1285"/>
      <c r="L37" s="1286"/>
      <c r="M37" s="534"/>
      <c r="N37" s="534"/>
      <c r="O37" s="534"/>
      <c r="P37" s="534"/>
      <c r="Q37" s="1285"/>
      <c r="R37" s="1291"/>
      <c r="S37" s="79"/>
      <c r="T37" s="79"/>
      <c r="U37" s="79"/>
    </row>
    <row r="38" spans="10:21" ht="12.75" customHeight="1">
      <c r="J38" s="532"/>
      <c r="K38" s="1285"/>
      <c r="L38" s="1287"/>
      <c r="M38" s="1288"/>
      <c r="N38" s="1288"/>
      <c r="O38" s="1288"/>
      <c r="P38" s="1288"/>
      <c r="Q38" s="1285"/>
      <c r="R38" s="1291"/>
      <c r="S38" s="79"/>
      <c r="T38" s="79"/>
      <c r="U38" s="79"/>
    </row>
    <row r="39" spans="11:21" ht="12.75" customHeight="1">
      <c r="K39" s="2"/>
      <c r="L39" s="2"/>
      <c r="M39" s="2"/>
      <c r="N39" s="2"/>
      <c r="O39" s="2"/>
      <c r="P39" s="2"/>
      <c r="S39" s="82"/>
      <c r="T39" s="79"/>
      <c r="U39" s="79"/>
    </row>
    <row r="40" spans="11:21" ht="12.75" customHeight="1">
      <c r="K40" s="2"/>
      <c r="L40" s="2"/>
      <c r="M40" s="2"/>
      <c r="N40" s="2"/>
      <c r="O40" s="2"/>
      <c r="P40" s="2"/>
      <c r="S40" s="82"/>
      <c r="T40" s="79"/>
      <c r="U40" s="79"/>
    </row>
    <row r="41" spans="11:21" ht="13.5" customHeight="1">
      <c r="K41" s="2"/>
      <c r="S41" s="82"/>
      <c r="T41" s="79"/>
      <c r="U41" s="79"/>
    </row>
    <row r="42" spans="9:21" ht="12.75" customHeight="1">
      <c r="I42" s="2"/>
      <c r="J42" s="729"/>
      <c r="S42" s="534"/>
      <c r="T42" s="587"/>
      <c r="U42" s="587"/>
    </row>
    <row r="43" spans="19:21" ht="13.5" customHeight="1">
      <c r="S43" s="532"/>
      <c r="T43" s="587"/>
      <c r="U43" s="587"/>
    </row>
    <row r="44" spans="19:21" ht="13.5" customHeight="1">
      <c r="S44" s="82"/>
      <c r="T44" s="79"/>
      <c r="U44" s="79"/>
    </row>
    <row r="45" spans="9:21" ht="13.5" customHeight="1">
      <c r="I45" s="585"/>
      <c r="S45" s="82"/>
      <c r="T45" s="79"/>
      <c r="U45" s="79"/>
    </row>
    <row r="46" spans="9:21" ht="13.5" customHeight="1">
      <c r="I46" s="258"/>
      <c r="J46" s="571"/>
      <c r="S46" s="82"/>
      <c r="T46" s="79"/>
      <c r="U46" s="79"/>
    </row>
    <row r="47" spans="9:21" ht="6" customHeight="1">
      <c r="I47" s="98"/>
      <c r="J47" s="98"/>
      <c r="S47" s="82"/>
      <c r="T47" s="79"/>
      <c r="U47" s="79"/>
    </row>
    <row r="48" spans="10:21" ht="12" customHeight="1">
      <c r="J48" s="98"/>
      <c r="S48" s="82"/>
      <c r="T48" s="79"/>
      <c r="U48" s="79"/>
    </row>
    <row r="49" spans="19:21" ht="12.75" customHeight="1">
      <c r="S49" s="98"/>
      <c r="T49" s="88"/>
      <c r="U49" s="79"/>
    </row>
  </sheetData>
  <sheetProtection formatCells="0" formatColumns="0" formatRows="0"/>
  <mergeCells count="13">
    <mergeCell ref="K25:O25"/>
    <mergeCell ref="Y29:Y30"/>
    <mergeCell ref="Z29:Z30"/>
    <mergeCell ref="G15:G16"/>
    <mergeCell ref="A30:G30"/>
    <mergeCell ref="K24:P24"/>
    <mergeCell ref="I1:J1"/>
    <mergeCell ref="A1:B1"/>
    <mergeCell ref="C1:F1"/>
    <mergeCell ref="F15:F16"/>
    <mergeCell ref="A23:D23"/>
    <mergeCell ref="A4:G4"/>
    <mergeCell ref="E15:E16"/>
  </mergeCells>
  <dataValidations count="1">
    <dataValidation type="whole" operator="lessThanOrEqual" allowBlank="1" showInputMessage="1" showErrorMessage="1" error="The employer share of retirement system expense for the teacher salary increases may not exceed the ASRS contribution rate of 11.5%." sqref="R32">
      <formula1>R31*0.115</formula1>
    </dataValidation>
  </dataValidations>
  <hyperlinks>
    <hyperlink ref="A10" location="Page2l45" display="4."/>
    <hyperlink ref="A11" location="Page2l45" display="5."/>
    <hyperlink ref="A23:D23" location="Page2n2" display="Estimated FTE Certified Employees"/>
    <hyperlink ref="A4:F4" location="Page2n1" display="SPECIAL EDUCATION PROGRAMS BY TYPE (M&amp;O Fund Program 200)"/>
    <hyperlink ref="A7" location="Page2n1" display="1."/>
    <hyperlink ref="A12" location="Page2l6and8" display="6."/>
    <hyperlink ref="A14" location="Page2l6and8" display="8."/>
    <hyperlink ref="K26" location="SalaryIncl1and2" display="1."/>
    <hyperlink ref="K28" location="SalaryIncl3and4" display="3."/>
    <hyperlink ref="K30" location="SalaryIncl3and4" display="4."/>
    <hyperlink ref="K32" location="SalaryIncl6" display="6."/>
    <hyperlink ref="K33" location="SalaryIncl7" display="7."/>
    <hyperlink ref="K24:P24" location="SalaryInc" display="Additional Teacher Salary Increases (Laws 2017, Ch. 305, §33)"/>
    <hyperlink ref="K7:N7" location="AuditServices" display="Expenditures Budgeted for Audit Services"/>
    <hyperlink ref="K18:O18" location="MOFoodService" display="Expenditures Budgeted in the M&amp;O Fund for Food Service"/>
    <hyperlink ref="K27" location="SalaryIncl1and2" display="2."/>
  </hyperlinks>
  <printOptions horizontalCentered="1"/>
  <pageMargins left="0.25" right="0.25" top="0.25" bottom="0.25" header="0" footer="0.25"/>
  <pageSetup fitToHeight="1" fitToWidth="1" horizontalDpi="600" verticalDpi="600" orientation="landscape" paperSize="5" scale="9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X61"/>
  <sheetViews>
    <sheetView showGridLines="0" zoomScale="106" zoomScaleNormal="106" zoomScalePageLayoutView="0" workbookViewId="0" topLeftCell="C1">
      <selection activeCell="Q33" sqref="Q33"/>
    </sheetView>
  </sheetViews>
  <sheetFormatPr defaultColWidth="8.77734375" defaultRowHeight="15"/>
  <cols>
    <col min="1" max="1" width="24.4453125" style="0" customWidth="1"/>
    <col min="2" max="2" width="6.77734375" style="0" customWidth="1"/>
    <col min="3" max="3" width="3.5546875" style="0" customWidth="1"/>
    <col min="4" max="10" width="11.77734375" style="0" customWidth="1"/>
    <col min="11" max="11" width="6.77734375" style="0" customWidth="1"/>
    <col min="12" max="12" width="3.77734375" style="0" customWidth="1"/>
    <col min="13" max="13" width="1.99609375" style="0" customWidth="1"/>
    <col min="14" max="14" width="13.99609375" style="0" customWidth="1"/>
    <col min="15" max="15" width="7.4453125" style="0" customWidth="1"/>
    <col min="16" max="16" width="8.77734375" style="0" customWidth="1"/>
    <col min="17" max="17" width="11.99609375" style="0" customWidth="1"/>
    <col min="18" max="24" width="8.77734375" style="0" customWidth="1"/>
    <col min="25" max="16384" width="8.77734375" style="255" customWidth="1"/>
  </cols>
  <sheetData>
    <row r="1" spans="1:14" ht="12" customHeight="1">
      <c r="A1" s="457" t="s">
        <v>139</v>
      </c>
      <c r="B1" s="1438" t="str">
        <f>Cover!C1</f>
        <v>Gilbert Public Schools</v>
      </c>
      <c r="C1" s="1439"/>
      <c r="D1" s="1439"/>
      <c r="E1" s="1439"/>
      <c r="F1" s="457" t="s">
        <v>140</v>
      </c>
      <c r="G1" s="606" t="str">
        <f>Cover!H1</f>
        <v>Maricopa</v>
      </c>
      <c r="H1" s="609"/>
      <c r="I1" s="457" t="s">
        <v>141</v>
      </c>
      <c r="J1" s="554" t="str">
        <f>Cover!Q1</f>
        <v>070241000</v>
      </c>
      <c r="K1" s="1444" t="s">
        <v>172</v>
      </c>
      <c r="L1" s="1445"/>
      <c r="M1" s="1437" t="str">
        <f>Cover!C8</f>
        <v>Revised #2</v>
      </c>
      <c r="N1" s="1437"/>
    </row>
    <row r="2" spans="1:13" ht="12" customHeight="1">
      <c r="A2" s="371"/>
      <c r="B2" s="370"/>
      <c r="C2" s="370"/>
      <c r="D2" s="370"/>
      <c r="E2" s="398"/>
      <c r="F2" s="370"/>
      <c r="G2" s="370"/>
      <c r="H2" s="370"/>
      <c r="I2" s="370"/>
      <c r="J2" s="370"/>
      <c r="K2" s="369"/>
      <c r="L2" s="350"/>
      <c r="M2" s="350"/>
    </row>
    <row r="3" spans="1:13" ht="11.25" customHeight="1">
      <c r="A3" s="407"/>
      <c r="B3" s="408"/>
      <c r="C3" s="409"/>
      <c r="D3" s="410"/>
      <c r="E3" s="411"/>
      <c r="F3" s="412" t="s">
        <v>59</v>
      </c>
      <c r="G3" s="413"/>
      <c r="H3" s="980" t="s">
        <v>540</v>
      </c>
      <c r="I3" s="1440" t="s">
        <v>145</v>
      </c>
      <c r="J3" s="1441"/>
      <c r="K3" s="414" t="s">
        <v>152</v>
      </c>
      <c r="L3" s="387"/>
      <c r="M3" s="387"/>
    </row>
    <row r="4" spans="1:13" ht="11.25" customHeight="1">
      <c r="A4" s="406" t="s">
        <v>153</v>
      </c>
      <c r="B4" s="415"/>
      <c r="C4" s="416"/>
      <c r="D4" s="405" t="s">
        <v>146</v>
      </c>
      <c r="E4" s="417" t="s">
        <v>60</v>
      </c>
      <c r="F4" s="417" t="s">
        <v>610</v>
      </c>
      <c r="G4" s="418" t="s">
        <v>149</v>
      </c>
      <c r="H4" s="980" t="s">
        <v>541</v>
      </c>
      <c r="I4" s="414" t="s">
        <v>564</v>
      </c>
      <c r="J4" s="414" t="s">
        <v>383</v>
      </c>
      <c r="K4" s="417" t="s">
        <v>155</v>
      </c>
      <c r="L4" s="387"/>
      <c r="M4" s="387"/>
    </row>
    <row r="5" spans="1:13" ht="11.25" customHeight="1">
      <c r="A5" s="419"/>
      <c r="B5" s="420"/>
      <c r="C5" s="421"/>
      <c r="D5" s="422" t="s">
        <v>156</v>
      </c>
      <c r="E5" s="423" t="s">
        <v>157</v>
      </c>
      <c r="F5" s="679" t="s">
        <v>612</v>
      </c>
      <c r="G5" s="425">
        <v>6600</v>
      </c>
      <c r="H5" s="692">
        <v>6850</v>
      </c>
      <c r="I5" s="679">
        <v>2017</v>
      </c>
      <c r="J5" s="679">
        <v>2018</v>
      </c>
      <c r="K5" s="424" t="s">
        <v>160</v>
      </c>
      <c r="L5" s="387"/>
      <c r="M5" s="387"/>
    </row>
    <row r="6" spans="1:13" ht="11.25" customHeight="1">
      <c r="A6" s="426" t="s">
        <v>58</v>
      </c>
      <c r="B6" s="415"/>
      <c r="C6" s="427"/>
      <c r="D6" s="736"/>
      <c r="E6" s="737"/>
      <c r="F6" s="1421"/>
      <c r="G6" s="1424"/>
      <c r="H6" s="1424"/>
      <c r="I6" s="1429">
        <f>[2]!F011P100F1000</f>
        <v>2566091</v>
      </c>
      <c r="J6" s="1432">
        <f>SUM(D8:H8)</f>
        <v>3154622</v>
      </c>
      <c r="K6" s="1446">
        <f>IF(I6=J6,0,IF(I6&gt;0,(J6-I6)/I6,"--"))</f>
        <v>0.229</v>
      </c>
      <c r="L6" s="387"/>
      <c r="M6" s="387"/>
    </row>
    <row r="7" spans="1:13" ht="11.25" customHeight="1">
      <c r="A7" s="428" t="s">
        <v>372</v>
      </c>
      <c r="B7" s="400"/>
      <c r="C7" s="429"/>
      <c r="D7" s="738"/>
      <c r="E7" s="739"/>
      <c r="F7" s="1422"/>
      <c r="G7" s="1422"/>
      <c r="H7" s="1422"/>
      <c r="I7" s="1430"/>
      <c r="J7" s="1430"/>
      <c r="K7" s="1430"/>
      <c r="L7" s="322"/>
      <c r="M7" s="322"/>
    </row>
    <row r="8" spans="1:13" ht="11.25" customHeight="1">
      <c r="A8" s="430" t="s">
        <v>571</v>
      </c>
      <c r="B8" s="400"/>
      <c r="C8" s="431" t="s">
        <v>118</v>
      </c>
      <c r="D8" s="1308">
        <f>1834423+142222+535000</f>
        <v>2511645</v>
      </c>
      <c r="E8" s="1308">
        <f>525362+117615</f>
        <v>642977</v>
      </c>
      <c r="F8" s="1423"/>
      <c r="G8" s="1423"/>
      <c r="H8" s="1423"/>
      <c r="I8" s="1431"/>
      <c r="J8" s="1423"/>
      <c r="K8" s="1423"/>
      <c r="L8" s="403" t="s">
        <v>118</v>
      </c>
      <c r="M8" s="322"/>
    </row>
    <row r="9" spans="1:24" ht="11.25" customHeight="1">
      <c r="A9" s="430" t="s">
        <v>83</v>
      </c>
      <c r="B9" s="400"/>
      <c r="C9" s="431" t="s">
        <v>120</v>
      </c>
      <c r="D9" s="1309">
        <v>48593</v>
      </c>
      <c r="E9" s="1309">
        <v>13179</v>
      </c>
      <c r="F9" s="890"/>
      <c r="G9" s="436"/>
      <c r="H9" s="436"/>
      <c r="I9" s="439">
        <f>[2]!F011P100F2100</f>
        <v>34983</v>
      </c>
      <c r="J9" s="438">
        <f>SUM(D9:H9)</f>
        <v>61772</v>
      </c>
      <c r="K9" s="440">
        <f aca="true" t="shared" si="0" ref="K9:K33">IF(I9=J9,0,IF(I9&gt;0,(J9-I9)/I9,"--"))</f>
        <v>0.766</v>
      </c>
      <c r="L9" s="1207" t="s">
        <v>120</v>
      </c>
      <c r="M9" s="1184"/>
      <c r="N9" s="408"/>
      <c r="O9" s="680"/>
      <c r="P9" s="1185"/>
      <c r="Q9" s="408"/>
      <c r="R9" s="403"/>
      <c r="S9" s="588"/>
      <c r="T9" s="588"/>
      <c r="U9" s="588"/>
      <c r="V9" s="588"/>
      <c r="W9" s="588"/>
      <c r="X9" s="588"/>
    </row>
    <row r="10" spans="1:20" ht="11.25" customHeight="1">
      <c r="A10" s="672" t="s">
        <v>92</v>
      </c>
      <c r="B10" s="400"/>
      <c r="C10" s="431" t="s">
        <v>127</v>
      </c>
      <c r="D10" s="1310">
        <v>28711</v>
      </c>
      <c r="E10" s="1310">
        <v>8121</v>
      </c>
      <c r="F10" s="441"/>
      <c r="G10" s="441"/>
      <c r="H10" s="441"/>
      <c r="I10" s="439">
        <f>[2]!F011P100F2200</f>
        <v>20467</v>
      </c>
      <c r="J10" s="438">
        <f>SUM(D10:H10)</f>
        <v>36832</v>
      </c>
      <c r="K10" s="440">
        <f t="shared" si="0"/>
        <v>0.8</v>
      </c>
      <c r="L10" s="1207" t="s">
        <v>127</v>
      </c>
      <c r="M10" s="322"/>
      <c r="N10" s="826"/>
      <c r="O10" s="262"/>
      <c r="P10" s="262"/>
      <c r="Q10" s="262"/>
      <c r="R10" s="262"/>
      <c r="S10" s="262"/>
      <c r="T10" s="262"/>
    </row>
    <row r="11" spans="1:14" s="268" customFormat="1" ht="11.25" customHeight="1">
      <c r="A11" s="462" t="s">
        <v>86</v>
      </c>
      <c r="B11" s="463"/>
      <c r="C11" s="464" t="s">
        <v>131</v>
      </c>
      <c r="D11" s="461">
        <f>SUM(D8:D10)</f>
        <v>2588949</v>
      </c>
      <c r="E11" s="461">
        <f>SUM(E8:E10)</f>
        <v>664277</v>
      </c>
      <c r="F11" s="443"/>
      <c r="G11" s="443"/>
      <c r="H11" s="443"/>
      <c r="I11" s="451">
        <f>'[2]Page 3'!$J$11</f>
        <v>2621541</v>
      </c>
      <c r="J11" s="461">
        <f>SUM(J6:J10)</f>
        <v>3253226</v>
      </c>
      <c r="K11" s="465">
        <f t="shared" si="0"/>
        <v>0.241</v>
      </c>
      <c r="L11" s="1208" t="s">
        <v>131</v>
      </c>
      <c r="M11" s="823"/>
      <c r="N11" s="501"/>
    </row>
    <row r="12" spans="1:24" ht="11.25" customHeight="1">
      <c r="A12" s="428" t="s">
        <v>821</v>
      </c>
      <c r="B12" s="400"/>
      <c r="C12" s="429"/>
      <c r="D12" s="740"/>
      <c r="E12" s="741"/>
      <c r="F12" s="1421"/>
      <c r="G12" s="1421"/>
      <c r="H12" s="1421"/>
      <c r="I12" s="1429">
        <f>[2]!F011P200F1000</f>
        <v>352859</v>
      </c>
      <c r="J12" s="1425">
        <f>SUM(D13:H13)</f>
        <v>673210</v>
      </c>
      <c r="K12" s="1427">
        <f>IF(I12=J12,0,IF(I12&gt;0,(J12-I12)/I12,"--"))</f>
        <v>0.908</v>
      </c>
      <c r="L12" s="403"/>
      <c r="M12" s="322"/>
      <c r="N12" s="408"/>
      <c r="O12" s="255"/>
      <c r="P12" s="255"/>
      <c r="Q12" s="255"/>
      <c r="R12" s="255"/>
      <c r="S12" s="255"/>
      <c r="T12" s="255"/>
      <c r="U12" s="255"/>
      <c r="V12" s="255"/>
      <c r="W12" s="255"/>
      <c r="X12" s="255"/>
    </row>
    <row r="13" spans="1:24" ht="11.25" customHeight="1">
      <c r="A13" s="428" t="s">
        <v>571</v>
      </c>
      <c r="B13" s="400"/>
      <c r="C13" s="429" t="s">
        <v>132</v>
      </c>
      <c r="D13" s="1308">
        <v>521846</v>
      </c>
      <c r="E13" s="1308">
        <v>151364</v>
      </c>
      <c r="F13" s="1433"/>
      <c r="G13" s="1433"/>
      <c r="H13" s="1433"/>
      <c r="I13" s="1456"/>
      <c r="J13" s="1426"/>
      <c r="K13" s="1428"/>
      <c r="L13" s="403" t="s">
        <v>132</v>
      </c>
      <c r="M13" s="322"/>
      <c r="N13" s="563"/>
      <c r="O13" s="255"/>
      <c r="P13" s="255"/>
      <c r="Q13" s="255"/>
      <c r="R13" s="255"/>
      <c r="S13" s="255"/>
      <c r="T13" s="255"/>
      <c r="U13" s="255"/>
      <c r="V13" s="255"/>
      <c r="W13" s="255"/>
      <c r="X13" s="255"/>
    </row>
    <row r="14" spans="1:24" ht="11.25" customHeight="1">
      <c r="A14" s="428" t="s">
        <v>83</v>
      </c>
      <c r="B14" s="400"/>
      <c r="C14" s="429" t="s">
        <v>133</v>
      </c>
      <c r="D14" s="1311">
        <v>10125</v>
      </c>
      <c r="E14" s="1318">
        <v>2927</v>
      </c>
      <c r="F14" s="441"/>
      <c r="G14" s="441"/>
      <c r="H14" s="441"/>
      <c r="I14" s="439">
        <f>[2]!F011P200F2100</f>
        <v>7056</v>
      </c>
      <c r="J14" s="445">
        <f>SUM(D14:H14)</f>
        <v>13052</v>
      </c>
      <c r="K14" s="440">
        <f t="shared" si="0"/>
        <v>0.85</v>
      </c>
      <c r="L14" s="403" t="s">
        <v>133</v>
      </c>
      <c r="M14" s="322"/>
      <c r="N14" s="408"/>
      <c r="O14" s="255"/>
      <c r="P14" s="255"/>
      <c r="Q14" s="255"/>
      <c r="R14" s="255"/>
      <c r="S14" s="255"/>
      <c r="T14" s="255"/>
      <c r="U14" s="255"/>
      <c r="V14" s="255"/>
      <c r="W14" s="255"/>
      <c r="X14" s="255"/>
    </row>
    <row r="15" spans="1:24" ht="11.25" customHeight="1">
      <c r="A15" s="462" t="s">
        <v>92</v>
      </c>
      <c r="B15" s="400"/>
      <c r="C15" s="429" t="s">
        <v>134</v>
      </c>
      <c r="D15" s="1312">
        <v>9217</v>
      </c>
      <c r="E15" s="1318">
        <v>2607</v>
      </c>
      <c r="F15" s="441"/>
      <c r="G15" s="441"/>
      <c r="H15" s="441"/>
      <c r="I15" s="439">
        <f>[2]!F011P200F2200</f>
        <v>6420</v>
      </c>
      <c r="J15" s="445">
        <f>SUM(D15:H15)</f>
        <v>11824</v>
      </c>
      <c r="K15" s="440">
        <f t="shared" si="0"/>
        <v>0.842</v>
      </c>
      <c r="L15" s="403" t="s">
        <v>134</v>
      </c>
      <c r="M15" s="322"/>
      <c r="N15" s="408"/>
      <c r="O15" s="255"/>
      <c r="P15" s="255"/>
      <c r="Q15" s="255"/>
      <c r="R15" s="255"/>
      <c r="S15" s="255"/>
      <c r="T15" s="255"/>
      <c r="U15" s="255"/>
      <c r="V15" s="255"/>
      <c r="W15" s="255"/>
      <c r="X15" s="255"/>
    </row>
    <row r="16" spans="1:24" ht="11.25" customHeight="1">
      <c r="A16" s="462" t="s">
        <v>822</v>
      </c>
      <c r="B16" s="400"/>
      <c r="C16" s="431" t="s">
        <v>176</v>
      </c>
      <c r="D16" s="459">
        <f>SUM(D13:D15)</f>
        <v>541188</v>
      </c>
      <c r="E16" s="446">
        <f>SUM(E13:E15)</f>
        <v>156898</v>
      </c>
      <c r="F16" s="447"/>
      <c r="G16" s="447"/>
      <c r="H16" s="447"/>
      <c r="I16" s="451">
        <f>'[2]Page 3'!$J$16</f>
        <v>366335</v>
      </c>
      <c r="J16" s="446">
        <f>SUM(J12:J15)</f>
        <v>698086</v>
      </c>
      <c r="K16" s="440">
        <f t="shared" si="0"/>
        <v>0.906</v>
      </c>
      <c r="L16" s="403" t="s">
        <v>176</v>
      </c>
      <c r="M16" s="322"/>
      <c r="N16" s="255"/>
      <c r="O16" s="255"/>
      <c r="P16" s="255"/>
      <c r="Q16" s="255"/>
      <c r="R16" s="822"/>
      <c r="S16" s="255"/>
      <c r="T16" s="255"/>
      <c r="U16" s="255"/>
      <c r="V16" s="255"/>
      <c r="W16" s="255"/>
      <c r="X16" s="255"/>
    </row>
    <row r="17" spans="1:13" ht="11.25" customHeight="1">
      <c r="A17" s="434" t="s">
        <v>87</v>
      </c>
      <c r="B17" s="400"/>
      <c r="C17" s="429"/>
      <c r="D17" s="740"/>
      <c r="E17" s="741"/>
      <c r="F17" s="1421"/>
      <c r="G17" s="1421"/>
      <c r="H17" s="1421"/>
      <c r="I17" s="1449">
        <f>[2]!F011POtherF1000</f>
        <v>0</v>
      </c>
      <c r="J17" s="1425">
        <f>SUM(D18:H18)</f>
        <v>12418</v>
      </c>
      <c r="K17" s="1427" t="str">
        <f>IF(I17=J17,0,IF(I17&gt;0,(J17-I17)/I17,"--"))</f>
        <v>--</v>
      </c>
      <c r="L17" s="403"/>
      <c r="M17" s="322"/>
    </row>
    <row r="18" spans="1:13" ht="11.25" customHeight="1">
      <c r="A18" s="428" t="s">
        <v>571</v>
      </c>
      <c r="B18" s="400"/>
      <c r="C18" s="429" t="s">
        <v>177</v>
      </c>
      <c r="D18" s="1308">
        <v>9855</v>
      </c>
      <c r="E18" s="1319">
        <v>2563</v>
      </c>
      <c r="F18" s="1433"/>
      <c r="G18" s="1433"/>
      <c r="H18" s="1433"/>
      <c r="I18" s="1450"/>
      <c r="J18" s="1426"/>
      <c r="K18" s="1428"/>
      <c r="L18" s="403" t="s">
        <v>177</v>
      </c>
      <c r="M18" s="322"/>
    </row>
    <row r="19" spans="1:13" ht="11.25" customHeight="1">
      <c r="A19" s="428" t="s">
        <v>83</v>
      </c>
      <c r="B19" s="400"/>
      <c r="C19" s="429" t="s">
        <v>178</v>
      </c>
      <c r="D19" s="1311">
        <v>0</v>
      </c>
      <c r="E19" s="1318">
        <v>0</v>
      </c>
      <c r="F19" s="441"/>
      <c r="G19" s="441"/>
      <c r="H19" s="441"/>
      <c r="I19" s="451">
        <f>[2]!F011POtherF2100</f>
        <v>0</v>
      </c>
      <c r="J19" s="448">
        <f>SUM(D19:H19)</f>
        <v>0</v>
      </c>
      <c r="K19" s="440">
        <f t="shared" si="0"/>
        <v>0</v>
      </c>
      <c r="L19" s="403" t="s">
        <v>178</v>
      </c>
      <c r="M19" s="322"/>
    </row>
    <row r="20" spans="1:13" ht="11.25" customHeight="1">
      <c r="A20" s="462" t="s">
        <v>92</v>
      </c>
      <c r="B20" s="400"/>
      <c r="C20" s="429" t="s">
        <v>179</v>
      </c>
      <c r="D20" s="1312">
        <v>0</v>
      </c>
      <c r="E20" s="1318">
        <v>0</v>
      </c>
      <c r="F20" s="437"/>
      <c r="G20" s="437"/>
      <c r="H20" s="437"/>
      <c r="I20" s="451">
        <f>[2]!F011POtherF2200</f>
        <v>0</v>
      </c>
      <c r="J20" s="448">
        <f>SUM(D20:H20)</f>
        <v>0</v>
      </c>
      <c r="K20" s="440">
        <f t="shared" si="0"/>
        <v>0</v>
      </c>
      <c r="L20" s="403" t="s">
        <v>179</v>
      </c>
      <c r="M20" s="322"/>
    </row>
    <row r="21" spans="1:13" ht="11.25" customHeight="1">
      <c r="A21" s="462" t="s">
        <v>482</v>
      </c>
      <c r="B21" s="400"/>
      <c r="C21" s="429" t="s">
        <v>180</v>
      </c>
      <c r="D21" s="449">
        <f>SUM(D18:D20)</f>
        <v>9855</v>
      </c>
      <c r="E21" s="449">
        <f>SUM(E18:E20)</f>
        <v>2563</v>
      </c>
      <c r="F21" s="437"/>
      <c r="G21" s="437"/>
      <c r="H21" s="437"/>
      <c r="I21" s="451">
        <f>'[2]Page 3'!$J$21</f>
        <v>0</v>
      </c>
      <c r="J21" s="449">
        <f>SUM(J17:J20)</f>
        <v>12418</v>
      </c>
      <c r="K21" s="440" t="str">
        <f t="shared" si="0"/>
        <v>--</v>
      </c>
      <c r="L21" s="403" t="s">
        <v>180</v>
      </c>
      <c r="M21" s="322"/>
    </row>
    <row r="22" spans="1:23" ht="11.25" customHeight="1">
      <c r="A22" s="433" t="s">
        <v>88</v>
      </c>
      <c r="B22" s="432"/>
      <c r="C22" s="850" t="s">
        <v>181</v>
      </c>
      <c r="D22" s="448">
        <f>D11+D16+D21</f>
        <v>3139992</v>
      </c>
      <c r="E22" s="448">
        <f>E11+E16+E21</f>
        <v>823738</v>
      </c>
      <c r="F22" s="450"/>
      <c r="G22" s="450"/>
      <c r="H22" s="444"/>
      <c r="I22" s="451">
        <f>'[2]Page 3'!$J$22</f>
        <v>2987876</v>
      </c>
      <c r="J22" s="453">
        <f>D22+E22+H22</f>
        <v>3963730</v>
      </c>
      <c r="K22" s="440">
        <f t="shared" si="0"/>
        <v>0.327</v>
      </c>
      <c r="L22" s="403" t="s">
        <v>181</v>
      </c>
      <c r="M22" s="1436" t="str">
        <f>IF(ROUND([0]!F011TotalExp,0)&lt;ROUND([0]!F011CSFBL,0),CONCATENATE("The district has budgeted an amount in Fund 011 which is less than the Classroom Site Fund Budget Limit as calculated on Page 8 of 8 by ",TEXT([0]!F011CSFBL-[0]!F011TotalExp,"$#,###"),"."),IF(ROUND([0]!F011TotalExp,0)&gt;ROUND([0]!F011CSFBL,0),CONCATENATE("The district has budgeted greater in Fund 011 than the Classroom Site Fund Budget Limit as calculated on Page 8 of 8 by ",TEXT(-[0]!F011CSFBL+[0]!F011TotalExp,"$#,###"),"."),IF(ROUND([0]!F011TotalExp,0)=ROUND([0]!F011CSFBL,0),CONCATENATE("The district has budgeted an amount in Fund 011 equal to the Classroom Site Fund Budget Limit as calculated on Page 8 of 8."))))</f>
        <v>The district has budgeted an amount in Fund 011 equal to the Classroom Site Fund Budget Limit as calculated on Page 8 of 8.</v>
      </c>
      <c r="N22" s="1436"/>
      <c r="O22" s="1436"/>
      <c r="P22" s="1436"/>
      <c r="Q22" s="1436"/>
      <c r="R22" s="1074"/>
      <c r="S22" s="1074"/>
      <c r="T22" s="1074"/>
      <c r="U22" s="1074"/>
      <c r="V22" s="1074"/>
      <c r="W22" s="1074"/>
    </row>
    <row r="23" spans="1:17" ht="11.25" customHeight="1">
      <c r="A23" s="406" t="s">
        <v>63</v>
      </c>
      <c r="B23" s="415"/>
      <c r="C23" s="400"/>
      <c r="D23" s="736"/>
      <c r="E23" s="737"/>
      <c r="F23" s="1421"/>
      <c r="G23" s="1421"/>
      <c r="H23" s="1421"/>
      <c r="I23" s="1449">
        <f>[2]!F012P100F1000</f>
        <v>5831179</v>
      </c>
      <c r="J23" s="1451">
        <f>SUM(D25:H25)</f>
        <v>5219732</v>
      </c>
      <c r="K23" s="1447">
        <f>IF(I23=J23,0,IF(I23&gt;0,(J23-I23)/I23,"--"))</f>
        <v>-0.105</v>
      </c>
      <c r="L23" s="1209"/>
      <c r="M23" s="1436"/>
      <c r="N23" s="1436"/>
      <c r="O23" s="1436"/>
      <c r="P23" s="1436"/>
      <c r="Q23" s="1436"/>
    </row>
    <row r="24" spans="1:17" ht="11.25" customHeight="1">
      <c r="A24" s="428" t="s">
        <v>372</v>
      </c>
      <c r="B24" s="400"/>
      <c r="C24" s="431"/>
      <c r="D24" s="738"/>
      <c r="E24" s="739"/>
      <c r="F24" s="1442"/>
      <c r="G24" s="1430"/>
      <c r="H24" s="1430"/>
      <c r="I24" s="1454"/>
      <c r="J24" s="1452"/>
      <c r="K24" s="1455"/>
      <c r="L24" s="403"/>
      <c r="M24" s="1436"/>
      <c r="N24" s="1436"/>
      <c r="O24" s="1436"/>
      <c r="P24" s="1436"/>
      <c r="Q24" s="1436"/>
    </row>
    <row r="25" spans="1:17" ht="11.25" customHeight="1">
      <c r="A25" s="430" t="s">
        <v>571</v>
      </c>
      <c r="B25" s="400"/>
      <c r="C25" s="431" t="s">
        <v>182</v>
      </c>
      <c r="D25" s="1308">
        <f>4932017+208554-735000</f>
        <v>4405571</v>
      </c>
      <c r="E25" s="1308">
        <f>967065-152904</f>
        <v>814161</v>
      </c>
      <c r="F25" s="1443"/>
      <c r="G25" s="1431"/>
      <c r="H25" s="1431"/>
      <c r="I25" s="1450"/>
      <c r="J25" s="1453"/>
      <c r="K25" s="1448"/>
      <c r="L25" s="1207" t="s">
        <v>182</v>
      </c>
      <c r="M25" s="823"/>
      <c r="N25" s="558"/>
      <c r="O25" s="558"/>
      <c r="P25" s="558"/>
      <c r="Q25" s="558"/>
    </row>
    <row r="26" spans="1:17" ht="11.25" customHeight="1">
      <c r="A26" s="430" t="s">
        <v>83</v>
      </c>
      <c r="B26" s="400"/>
      <c r="C26" s="431" t="s">
        <v>183</v>
      </c>
      <c r="D26" s="1313">
        <v>0</v>
      </c>
      <c r="E26" s="1313">
        <v>0</v>
      </c>
      <c r="F26" s="441"/>
      <c r="G26" s="441"/>
      <c r="H26" s="441"/>
      <c r="I26" s="439">
        <f>[2]!F012P100F2100</f>
        <v>0</v>
      </c>
      <c r="J26" s="448">
        <f>SUM(D26:H26)</f>
        <v>0</v>
      </c>
      <c r="K26" s="440">
        <f t="shared" si="0"/>
        <v>0</v>
      </c>
      <c r="L26" s="1207" t="s">
        <v>183</v>
      </c>
      <c r="M26" s="823"/>
      <c r="N26" s="558"/>
      <c r="O26" s="558"/>
      <c r="P26" s="558"/>
      <c r="Q26" s="558"/>
    </row>
    <row r="27" spans="1:17" ht="11.25" customHeight="1">
      <c r="A27" s="672" t="s">
        <v>92</v>
      </c>
      <c r="B27" s="400"/>
      <c r="C27" s="431" t="s">
        <v>184</v>
      </c>
      <c r="D27" s="1313">
        <v>0</v>
      </c>
      <c r="E27" s="1313">
        <v>0</v>
      </c>
      <c r="F27" s="441"/>
      <c r="G27" s="441"/>
      <c r="H27" s="441"/>
      <c r="I27" s="439">
        <f>[2]!F012P100F2200</f>
        <v>0</v>
      </c>
      <c r="J27" s="448">
        <f>SUM(D27:H27)</f>
        <v>0</v>
      </c>
      <c r="K27" s="440">
        <f t="shared" si="0"/>
        <v>0</v>
      </c>
      <c r="L27" s="1207" t="s">
        <v>184</v>
      </c>
      <c r="M27" s="823"/>
      <c r="N27" s="558"/>
      <c r="O27" s="558"/>
      <c r="P27" s="558"/>
      <c r="Q27" s="558"/>
    </row>
    <row r="28" spans="1:24" ht="11.25" customHeight="1">
      <c r="A28" s="462" t="s">
        <v>90</v>
      </c>
      <c r="B28" s="400"/>
      <c r="C28" s="431" t="s">
        <v>185</v>
      </c>
      <c r="D28" s="460">
        <f>SUM(D25:D27)</f>
        <v>4405571</v>
      </c>
      <c r="E28" s="451">
        <f>SUM(E25:E27)</f>
        <v>814161</v>
      </c>
      <c r="F28" s="441"/>
      <c r="G28" s="441"/>
      <c r="H28" s="441"/>
      <c r="I28" s="451">
        <f>'[2]Page 3'!$J$28</f>
        <v>5831179</v>
      </c>
      <c r="J28" s="451">
        <f>SUM(J23:J27)</f>
        <v>5219732</v>
      </c>
      <c r="K28" s="440">
        <f t="shared" si="0"/>
        <v>-0.105</v>
      </c>
      <c r="L28" s="1207" t="s">
        <v>185</v>
      </c>
      <c r="M28" s="823"/>
      <c r="N28" s="268"/>
      <c r="O28" s="268"/>
      <c r="P28" s="268"/>
      <c r="Q28" s="268"/>
      <c r="R28" s="255"/>
      <c r="S28" s="255"/>
      <c r="T28" s="255"/>
      <c r="U28" s="255"/>
      <c r="V28" s="255"/>
      <c r="W28" s="255"/>
      <c r="X28" s="255"/>
    </row>
    <row r="29" spans="1:24" ht="11.25" customHeight="1">
      <c r="A29" s="428" t="s">
        <v>61</v>
      </c>
      <c r="B29" s="400"/>
      <c r="C29" s="429"/>
      <c r="D29" s="740"/>
      <c r="E29" s="741"/>
      <c r="F29" s="1424"/>
      <c r="G29" s="1424"/>
      <c r="H29" s="1424"/>
      <c r="I29" s="1449">
        <f>[2]!F012P200F1000</f>
        <v>144572</v>
      </c>
      <c r="J29" s="1434">
        <f>SUM(D30:H30)</f>
        <v>514595</v>
      </c>
      <c r="K29" s="1447">
        <f>IF(I29=J29,0,IF(I29&gt;0,(J29-I29)/I29,"--"))</f>
        <v>2.559</v>
      </c>
      <c r="L29" s="403"/>
      <c r="M29" s="823"/>
      <c r="N29" s="268"/>
      <c r="O29" s="268"/>
      <c r="P29" s="268"/>
      <c r="Q29" s="268"/>
      <c r="R29" s="255"/>
      <c r="S29" s="255"/>
      <c r="T29" s="255"/>
      <c r="U29" s="255"/>
      <c r="V29" s="255"/>
      <c r="W29" s="255"/>
      <c r="X29" s="255"/>
    </row>
    <row r="30" spans="1:24" ht="11.25" customHeight="1">
      <c r="A30" s="428" t="s">
        <v>571</v>
      </c>
      <c r="B30" s="400"/>
      <c r="C30" s="429" t="s">
        <v>186</v>
      </c>
      <c r="D30" s="1308">
        <v>430398</v>
      </c>
      <c r="E30" s="1308">
        <v>84197</v>
      </c>
      <c r="F30" s="1435"/>
      <c r="G30" s="1435"/>
      <c r="H30" s="1435"/>
      <c r="I30" s="1450"/>
      <c r="J30" s="1423"/>
      <c r="K30" s="1448"/>
      <c r="L30" s="403" t="s">
        <v>186</v>
      </c>
      <c r="M30" s="823"/>
      <c r="N30" s="268"/>
      <c r="O30" s="268"/>
      <c r="P30" s="268"/>
      <c r="Q30" s="268"/>
      <c r="R30" s="255"/>
      <c r="S30" s="255"/>
      <c r="T30" s="255"/>
      <c r="U30" s="255"/>
      <c r="V30" s="255"/>
      <c r="W30" s="255"/>
      <c r="X30" s="255"/>
    </row>
    <row r="31" spans="1:24" ht="11.25" customHeight="1">
      <c r="A31" s="428" t="s">
        <v>83</v>
      </c>
      <c r="B31" s="400"/>
      <c r="C31" s="429" t="s">
        <v>187</v>
      </c>
      <c r="D31" s="1314">
        <v>0</v>
      </c>
      <c r="E31" s="1320">
        <v>0</v>
      </c>
      <c r="F31" s="450"/>
      <c r="G31" s="450"/>
      <c r="H31" s="450"/>
      <c r="I31" s="451">
        <f>[2]!F012P200F2100</f>
        <v>0</v>
      </c>
      <c r="J31" s="448">
        <f>SUM(D31:H31)</f>
        <v>0</v>
      </c>
      <c r="K31" s="440">
        <f t="shared" si="0"/>
        <v>0</v>
      </c>
      <c r="L31" s="403" t="s">
        <v>187</v>
      </c>
      <c r="M31" s="823"/>
      <c r="N31" s="268"/>
      <c r="O31" s="268"/>
      <c r="P31" s="268"/>
      <c r="Q31" s="268"/>
      <c r="R31" s="255"/>
      <c r="S31" s="255"/>
      <c r="T31" s="255"/>
      <c r="U31" s="255"/>
      <c r="V31" s="255"/>
      <c r="W31" s="255"/>
      <c r="X31" s="255"/>
    </row>
    <row r="32" spans="1:24" ht="11.25" customHeight="1">
      <c r="A32" s="462" t="s">
        <v>92</v>
      </c>
      <c r="B32" s="400"/>
      <c r="C32" s="429" t="s">
        <v>189</v>
      </c>
      <c r="D32" s="1314">
        <v>0</v>
      </c>
      <c r="E32" s="1320">
        <v>0</v>
      </c>
      <c r="F32" s="450"/>
      <c r="G32" s="450"/>
      <c r="H32" s="450"/>
      <c r="I32" s="451">
        <f>[2]!F012P200F2200</f>
        <v>0</v>
      </c>
      <c r="J32" s="448">
        <f>SUM(D32:H32)</f>
        <v>0</v>
      </c>
      <c r="K32" s="440">
        <f t="shared" si="0"/>
        <v>0</v>
      </c>
      <c r="L32" s="403" t="s">
        <v>189</v>
      </c>
      <c r="M32" s="823"/>
      <c r="N32" s="268"/>
      <c r="O32" s="268"/>
      <c r="P32" s="268"/>
      <c r="Q32" s="268"/>
      <c r="R32" s="255"/>
      <c r="S32" s="255"/>
      <c r="T32" s="255"/>
      <c r="U32" s="255"/>
      <c r="V32" s="255"/>
      <c r="W32" s="255"/>
      <c r="X32" s="255"/>
    </row>
    <row r="33" spans="1:24" ht="11.25" customHeight="1">
      <c r="A33" s="462" t="s">
        <v>483</v>
      </c>
      <c r="B33" s="400"/>
      <c r="C33" s="431" t="s">
        <v>191</v>
      </c>
      <c r="D33" s="461">
        <f>SUM(D30:D32)</f>
        <v>430398</v>
      </c>
      <c r="E33" s="453">
        <f>SUM(E30:E32)</f>
        <v>84197</v>
      </c>
      <c r="F33" s="450"/>
      <c r="G33" s="450"/>
      <c r="H33" s="450"/>
      <c r="I33" s="451">
        <f>'[2]Page 3'!$J$33</f>
        <v>144572</v>
      </c>
      <c r="J33" s="453">
        <f>SUM(J29:J32)</f>
        <v>514595</v>
      </c>
      <c r="K33" s="440">
        <f t="shared" si="0"/>
        <v>2.559</v>
      </c>
      <c r="L33" s="403" t="s">
        <v>191</v>
      </c>
      <c r="M33" s="823"/>
      <c r="N33" s="268"/>
      <c r="O33" s="268"/>
      <c r="P33" s="268"/>
      <c r="Q33" s="268"/>
      <c r="R33" s="255"/>
      <c r="S33" s="255"/>
      <c r="T33" s="255"/>
      <c r="U33" s="255"/>
      <c r="V33" s="255"/>
      <c r="W33" s="255"/>
      <c r="X33" s="255"/>
    </row>
    <row r="34" spans="1:17" ht="11.25" customHeight="1">
      <c r="A34" s="434" t="s">
        <v>87</v>
      </c>
      <c r="B34" s="400"/>
      <c r="C34" s="429"/>
      <c r="D34" s="742"/>
      <c r="E34" s="743"/>
      <c r="F34" s="1421"/>
      <c r="G34" s="1421"/>
      <c r="H34" s="1421"/>
      <c r="I34" s="1449">
        <f>[2]!F012POtherF1000</f>
        <v>0</v>
      </c>
      <c r="J34" s="1425">
        <f>SUM(D35:H35)</f>
        <v>0</v>
      </c>
      <c r="K34" s="1427">
        <f>IF(I34=J34,0,IF(I34&gt;0,(J34-I34)/I34,"--"))</f>
        <v>0</v>
      </c>
      <c r="L34" s="403"/>
      <c r="M34" s="823"/>
      <c r="N34" s="558"/>
      <c r="O34" s="558"/>
      <c r="P34" s="558"/>
      <c r="Q34" s="558"/>
    </row>
    <row r="35" spans="1:17" ht="11.25" customHeight="1">
      <c r="A35" s="428" t="s">
        <v>571</v>
      </c>
      <c r="B35" s="400"/>
      <c r="C35" s="429" t="s">
        <v>192</v>
      </c>
      <c r="D35" s="1308">
        <v>0</v>
      </c>
      <c r="E35" s="1308">
        <v>0</v>
      </c>
      <c r="F35" s="1433"/>
      <c r="G35" s="1433"/>
      <c r="H35" s="1433"/>
      <c r="I35" s="1450"/>
      <c r="J35" s="1426"/>
      <c r="K35" s="1428"/>
      <c r="L35" s="403" t="s">
        <v>192</v>
      </c>
      <c r="M35" s="823"/>
      <c r="N35" s="558"/>
      <c r="O35" s="558"/>
      <c r="P35" s="558"/>
      <c r="Q35" s="558"/>
    </row>
    <row r="36" spans="1:17" ht="11.25" customHeight="1">
      <c r="A36" s="428" t="s">
        <v>83</v>
      </c>
      <c r="B36" s="400"/>
      <c r="C36" s="429" t="s">
        <v>194</v>
      </c>
      <c r="D36" s="1311">
        <v>0</v>
      </c>
      <c r="E36" s="1318">
        <v>0</v>
      </c>
      <c r="F36" s="441"/>
      <c r="G36" s="441"/>
      <c r="H36" s="441"/>
      <c r="I36" s="451">
        <f>[2]!F012POtherF2100</f>
        <v>0</v>
      </c>
      <c r="J36" s="448">
        <f>SUM(D36:H36)</f>
        <v>0</v>
      </c>
      <c r="K36" s="440">
        <f>IF(I36=J36,0,IF(I36&gt;0,(J36-I36)/I36,"--"))</f>
        <v>0</v>
      </c>
      <c r="L36" s="403" t="s">
        <v>194</v>
      </c>
      <c r="M36" s="823"/>
      <c r="N36" s="558"/>
      <c r="O36" s="558"/>
      <c r="P36" s="558"/>
      <c r="Q36" s="558"/>
    </row>
    <row r="37" spans="1:17" ht="11.25" customHeight="1">
      <c r="A37" s="462" t="s">
        <v>92</v>
      </c>
      <c r="B37" s="400"/>
      <c r="C37" s="429" t="s">
        <v>195</v>
      </c>
      <c r="D37" s="1312">
        <v>0</v>
      </c>
      <c r="E37" s="1318">
        <v>0</v>
      </c>
      <c r="F37" s="437"/>
      <c r="G37" s="437"/>
      <c r="H37" s="437"/>
      <c r="I37" s="451">
        <f>[2]!F012POtherF2200</f>
        <v>0</v>
      </c>
      <c r="J37" s="448">
        <f>SUM(D37:H37)</f>
        <v>0</v>
      </c>
      <c r="K37" s="440">
        <f>IF(I37=J37,0,IF(I37&gt;0,(J37-I37)/I37,"--"))</f>
        <v>0</v>
      </c>
      <c r="L37" s="403" t="s">
        <v>195</v>
      </c>
      <c r="M37" s="823"/>
      <c r="N37" s="558"/>
      <c r="O37" s="558"/>
      <c r="P37" s="558"/>
      <c r="Q37" s="558"/>
    </row>
    <row r="38" spans="1:23" ht="11.25" customHeight="1">
      <c r="A38" s="462" t="s">
        <v>484</v>
      </c>
      <c r="B38" s="400"/>
      <c r="C38" s="429" t="s">
        <v>197</v>
      </c>
      <c r="D38" s="449">
        <f>SUM(D35:D37)</f>
        <v>0</v>
      </c>
      <c r="E38" s="449">
        <f>SUM(E35:E37)</f>
        <v>0</v>
      </c>
      <c r="F38" s="437"/>
      <c r="G38" s="437"/>
      <c r="H38" s="437"/>
      <c r="I38" s="451">
        <f>'[2]Page 3'!$J$38</f>
        <v>0</v>
      </c>
      <c r="J38" s="449">
        <f>SUM(J34:J37)</f>
        <v>0</v>
      </c>
      <c r="K38" s="440">
        <f>IF(I38=J38,0,IF(I38&gt;0,(J38-I38)/I38,"--"))</f>
        <v>0</v>
      </c>
      <c r="L38" s="403" t="s">
        <v>197</v>
      </c>
      <c r="M38" s="823"/>
      <c r="N38" s="558"/>
      <c r="O38" s="558"/>
      <c r="P38" s="558"/>
      <c r="Q38" s="558"/>
      <c r="R38" s="558"/>
      <c r="S38" s="558"/>
      <c r="T38" s="558"/>
      <c r="U38" s="558"/>
      <c r="V38" s="558"/>
      <c r="W38" s="558"/>
    </row>
    <row r="39" spans="1:23" ht="11.25" customHeight="1">
      <c r="A39" s="433" t="s">
        <v>89</v>
      </c>
      <c r="B39" s="432"/>
      <c r="C39" s="850" t="s">
        <v>199</v>
      </c>
      <c r="D39" s="448">
        <f>D28+D33+D38</f>
        <v>4835969</v>
      </c>
      <c r="E39" s="448">
        <f>E28+E33+E38</f>
        <v>898358</v>
      </c>
      <c r="F39" s="450"/>
      <c r="G39" s="450"/>
      <c r="H39" s="444"/>
      <c r="I39" s="451">
        <f>'[2]Page 3'!$J$39</f>
        <v>5975751</v>
      </c>
      <c r="J39" s="453">
        <f>D39+E39+H39</f>
        <v>5734327</v>
      </c>
      <c r="K39" s="440">
        <f>IF(I39=J39,0,IF(I39&gt;0,(J39-I39)/I39,"--"))</f>
        <v>-0.04</v>
      </c>
      <c r="L39" s="403" t="s">
        <v>199</v>
      </c>
      <c r="M39" s="1436" t="str">
        <f>IF(ROUND([0]!F012TotalExp,0)&lt;ROUND([0]!F012CSFBL,0),CONCATENATE("The district has budgeted an amount in Fund 012 which is less than the Classroom Site Fund Budget Limit as calculated on Page 8 of 8 by ",TEXT([0]!F012CSFBL-'Page 3'!J39,"$#,###"),"."),IF(ROUND([0]!F012TotalExp,0)&gt;ROUND([0]!F012CSFBL,0),CONCATENATE("The district has budgeted greater in Fund 012 than the Classroom Site Fund Budget Limit as calculated on Page 8 of 8 by ",TEXT(-[0]!F012CSFBL+[0]!F012TotalExp,"$#,###"),"."),IF(ROUND([0]!F012TotalExp,0)=ROUND([0]!F012CSFBL,0),CONCATENATE("The district has budgeted an amount in Fund 012 equal to the Classroom Site Fund Budget Limit as calculated on Page 8 of 8."))))</f>
        <v>The district has budgeted an amount in Fund 012 equal to the Classroom Site Fund Budget Limit as calculated on Page 8 of 8.</v>
      </c>
      <c r="N39" s="1436"/>
      <c r="O39" s="1436"/>
      <c r="P39" s="1436"/>
      <c r="Q39" s="1436"/>
      <c r="R39" s="1074"/>
      <c r="S39" s="1074"/>
      <c r="T39" s="1074"/>
      <c r="U39" s="1074"/>
      <c r="V39" s="1074"/>
      <c r="W39" s="1074"/>
    </row>
    <row r="40" spans="1:17" ht="11.25" customHeight="1">
      <c r="A40" s="435" t="s">
        <v>64</v>
      </c>
      <c r="B40" s="400"/>
      <c r="C40" s="400"/>
      <c r="D40" s="736"/>
      <c r="E40" s="737"/>
      <c r="F40" s="748"/>
      <c r="G40" s="746"/>
      <c r="H40" s="1468"/>
      <c r="I40" s="1458">
        <f>[2]!F013P100F1000</f>
        <v>4867714</v>
      </c>
      <c r="J40" s="1473">
        <f>SUM(D42:H42)</f>
        <v>5565947</v>
      </c>
      <c r="K40" s="1470">
        <f>IF(I40=J40,0,IF(I40&gt;0,(J40-I40)/I40,"--"))</f>
        <v>0.143</v>
      </c>
      <c r="L40" s="1209"/>
      <c r="M40" s="1436"/>
      <c r="N40" s="1436"/>
      <c r="O40" s="1436"/>
      <c r="P40" s="1436"/>
      <c r="Q40" s="1436"/>
    </row>
    <row r="41" spans="1:17" ht="11.25" customHeight="1">
      <c r="A41" s="430" t="s">
        <v>372</v>
      </c>
      <c r="B41" s="400"/>
      <c r="C41" s="431"/>
      <c r="D41" s="738"/>
      <c r="E41" s="739"/>
      <c r="F41" s="749"/>
      <c r="G41" s="747"/>
      <c r="H41" s="1468"/>
      <c r="I41" s="1459"/>
      <c r="J41" s="1473"/>
      <c r="K41" s="1471"/>
      <c r="L41" s="1207"/>
      <c r="M41" s="1436"/>
      <c r="N41" s="1436"/>
      <c r="O41" s="1436"/>
      <c r="P41" s="1436"/>
      <c r="Q41" s="1436"/>
    </row>
    <row r="42" spans="1:17" ht="11.25" customHeight="1">
      <c r="A42" s="430" t="s">
        <v>571</v>
      </c>
      <c r="B42" s="400"/>
      <c r="C42" s="431" t="s">
        <v>201</v>
      </c>
      <c r="D42" s="1308">
        <f>3703996+255490+450000</f>
        <v>4409486</v>
      </c>
      <c r="E42" s="1308">
        <f>1064412+92049</f>
        <v>1156461</v>
      </c>
      <c r="F42" s="1321">
        <v>0</v>
      </c>
      <c r="G42" s="1322">
        <v>0</v>
      </c>
      <c r="H42" s="1469"/>
      <c r="I42" s="1460"/>
      <c r="J42" s="1474"/>
      <c r="K42" s="1472"/>
      <c r="L42" s="1207" t="s">
        <v>201</v>
      </c>
      <c r="M42" s="823"/>
      <c r="N42" s="558"/>
      <c r="O42" s="558"/>
      <c r="P42" s="558"/>
      <c r="Q42" s="558"/>
    </row>
    <row r="43" spans="1:17" ht="11.25" customHeight="1">
      <c r="A43" s="430" t="s">
        <v>83</v>
      </c>
      <c r="B43" s="400"/>
      <c r="C43" s="431" t="s">
        <v>202</v>
      </c>
      <c r="D43" s="1309">
        <v>106087</v>
      </c>
      <c r="E43" s="1309">
        <v>29221</v>
      </c>
      <c r="F43" s="1309">
        <v>0</v>
      </c>
      <c r="G43" s="1309">
        <v>0</v>
      </c>
      <c r="H43" s="436"/>
      <c r="I43" s="526">
        <f>[2]!F013P100F2100</f>
        <v>75760</v>
      </c>
      <c r="J43" s="529">
        <f>SUM(D43:H43)</f>
        <v>135308</v>
      </c>
      <c r="K43" s="528">
        <f>IF(I43=J43,0,IF(I43&gt;0,(J43-I43)/I43,"--"))</f>
        <v>0.786</v>
      </c>
      <c r="L43" s="1207" t="s">
        <v>202</v>
      </c>
      <c r="M43" s="823"/>
      <c r="N43" s="558"/>
      <c r="O43" s="558"/>
      <c r="P43" s="558"/>
      <c r="Q43" s="558"/>
    </row>
    <row r="44" spans="1:17" ht="11.25" customHeight="1">
      <c r="A44" s="672" t="s">
        <v>92</v>
      </c>
      <c r="B44" s="400"/>
      <c r="C44" s="431" t="s">
        <v>218</v>
      </c>
      <c r="D44" s="1315">
        <v>371794</v>
      </c>
      <c r="E44" s="1315">
        <v>111434</v>
      </c>
      <c r="F44" s="1317">
        <v>0</v>
      </c>
      <c r="G44" s="1317">
        <v>0</v>
      </c>
      <c r="H44" s="512"/>
      <c r="I44" s="439">
        <f>[2]!F013P100F2200</f>
        <v>289303</v>
      </c>
      <c r="J44" s="455">
        <f>SUM(D44:H44)</f>
        <v>483228</v>
      </c>
      <c r="K44" s="440">
        <f>IF(I44=J44,0,IF(I44&gt;0,(J44-I44)/I44,"--"))</f>
        <v>0.67</v>
      </c>
      <c r="L44" s="1207" t="s">
        <v>218</v>
      </c>
      <c r="M44" s="823"/>
      <c r="N44" s="558"/>
      <c r="O44" s="558"/>
      <c r="P44" s="558"/>
      <c r="Q44" s="558"/>
    </row>
    <row r="45" spans="1:17" ht="11.25" customHeight="1">
      <c r="A45" s="462" t="s">
        <v>264</v>
      </c>
      <c r="B45" s="400"/>
      <c r="C45" s="431" t="s">
        <v>219</v>
      </c>
      <c r="D45" s="442">
        <f>SUM(D42:D44)</f>
        <v>4887367</v>
      </c>
      <c r="E45" s="442">
        <f>SUM(E42:E44)</f>
        <v>1297116</v>
      </c>
      <c r="F45" s="442">
        <f>SUM(F42:F44)</f>
        <v>0</v>
      </c>
      <c r="G45" s="442">
        <f>SUM(G42:G44)</f>
        <v>0</v>
      </c>
      <c r="H45" s="443"/>
      <c r="I45" s="451">
        <f>'[2]Page 3'!$J$45</f>
        <v>5232777</v>
      </c>
      <c r="J45" s="442">
        <f>SUM(J40:J44)</f>
        <v>6184483</v>
      </c>
      <c r="K45" s="440">
        <f>IF(I45=J45,0,IF(I45&gt;0,(J45-I45)/I45,"--"))</f>
        <v>0.182</v>
      </c>
      <c r="L45" s="1207" t="s">
        <v>219</v>
      </c>
      <c r="M45" s="823"/>
      <c r="N45" s="558"/>
      <c r="O45" s="558"/>
      <c r="P45" s="558"/>
      <c r="Q45" s="558"/>
    </row>
    <row r="46" spans="1:17" ht="11.25" customHeight="1">
      <c r="A46" s="430" t="s">
        <v>61</v>
      </c>
      <c r="B46" s="400"/>
      <c r="C46" s="431"/>
      <c r="D46" s="743"/>
      <c r="E46" s="743"/>
      <c r="F46" s="743"/>
      <c r="G46" s="743"/>
      <c r="H46" s="1421"/>
      <c r="I46" s="1449">
        <f>[2]!F013P200F1000</f>
        <v>716947</v>
      </c>
      <c r="J46" s="1461">
        <f>SUM(D47:H47)</f>
        <v>1393487</v>
      </c>
      <c r="K46" s="1447">
        <f>IF(I46=J46,0,IF(I46&gt;0,(J46-I46)/I46,"--"))</f>
        <v>0.944</v>
      </c>
      <c r="L46" s="1207"/>
      <c r="M46" s="823"/>
      <c r="N46" s="558"/>
      <c r="O46" s="558"/>
      <c r="P46" s="558"/>
      <c r="Q46" s="558"/>
    </row>
    <row r="47" spans="1:17" ht="11.25" customHeight="1">
      <c r="A47" s="430" t="s">
        <v>571</v>
      </c>
      <c r="B47" s="400"/>
      <c r="C47" s="431" t="s">
        <v>220</v>
      </c>
      <c r="D47" s="1316">
        <v>1079107</v>
      </c>
      <c r="E47" s="1316">
        <v>314380</v>
      </c>
      <c r="F47" s="1316">
        <v>0</v>
      </c>
      <c r="G47" s="1316">
        <v>0</v>
      </c>
      <c r="H47" s="1457"/>
      <c r="I47" s="1450"/>
      <c r="J47" s="1462"/>
      <c r="K47" s="1448"/>
      <c r="L47" s="1207" t="s">
        <v>220</v>
      </c>
      <c r="M47" s="823"/>
      <c r="N47" s="558"/>
      <c r="O47" s="558"/>
      <c r="P47" s="558"/>
      <c r="Q47" s="558"/>
    </row>
    <row r="48" spans="1:17" ht="11.25" customHeight="1">
      <c r="A48" s="430" t="s">
        <v>83</v>
      </c>
      <c r="B48" s="400"/>
      <c r="C48" s="431" t="s">
        <v>221</v>
      </c>
      <c r="D48" s="1309">
        <v>20666</v>
      </c>
      <c r="E48" s="1309">
        <v>5975</v>
      </c>
      <c r="F48" s="1309">
        <v>0</v>
      </c>
      <c r="G48" s="1309">
        <v>0</v>
      </c>
      <c r="H48" s="437"/>
      <c r="I48" s="894">
        <f>[2]!F013P200F2100</f>
        <v>14120</v>
      </c>
      <c r="J48" s="451">
        <f>SUM(D48:H48)</f>
        <v>26641</v>
      </c>
      <c r="K48" s="528">
        <f>IF(I48=J48,0,IF(I48&gt;0,(J48-I48)/I48,"--"))</f>
        <v>0.887</v>
      </c>
      <c r="L48" s="1207" t="s">
        <v>221</v>
      </c>
      <c r="M48" s="823"/>
      <c r="N48" s="558"/>
      <c r="O48" s="558"/>
      <c r="P48" s="558"/>
      <c r="Q48" s="558"/>
    </row>
    <row r="49" spans="1:17" ht="11.25" customHeight="1">
      <c r="A49" s="672" t="s">
        <v>92</v>
      </c>
      <c r="B49" s="400"/>
      <c r="C49" s="431" t="s">
        <v>291</v>
      </c>
      <c r="D49" s="1315">
        <v>17446</v>
      </c>
      <c r="E49" s="1315">
        <v>4836</v>
      </c>
      <c r="F49" s="1317">
        <v>0</v>
      </c>
      <c r="G49" s="1317">
        <v>0</v>
      </c>
      <c r="H49" s="512"/>
      <c r="I49" s="451">
        <f>[2]!F013P200F2200</f>
        <v>11907</v>
      </c>
      <c r="J49" s="455">
        <f>SUM(D49:H49)</f>
        <v>22282</v>
      </c>
      <c r="K49" s="440">
        <f>IF(I49=J49,0,IF(I49&gt;0,(J49-I49)/I49,"--"))</f>
        <v>0.871</v>
      </c>
      <c r="L49" s="1207" t="s">
        <v>291</v>
      </c>
      <c r="M49" s="823"/>
      <c r="N49" s="558"/>
      <c r="O49" s="558"/>
      <c r="P49" s="558"/>
      <c r="Q49" s="558"/>
    </row>
    <row r="50" spans="1:17" ht="11.25" customHeight="1">
      <c r="A50" s="462" t="s">
        <v>265</v>
      </c>
      <c r="B50" s="400"/>
      <c r="C50" s="431" t="s">
        <v>292</v>
      </c>
      <c r="D50" s="442">
        <f>SUM(D47:D49)</f>
        <v>1117219</v>
      </c>
      <c r="E50" s="442">
        <f>SUM(E47:E49)</f>
        <v>325191</v>
      </c>
      <c r="F50" s="442">
        <f>SUM(F47:F49)</f>
        <v>0</v>
      </c>
      <c r="G50" s="442">
        <f>SUM(G47:G49)</f>
        <v>0</v>
      </c>
      <c r="H50" s="443"/>
      <c r="I50" s="451">
        <f>'[2]Page 3'!$J$50</f>
        <v>742974</v>
      </c>
      <c r="J50" s="442">
        <f>D50+E50+F50+G50</f>
        <v>1442410</v>
      </c>
      <c r="K50" s="440">
        <f>IF(I50=J50,0,IF(I50&gt;0,(J50-I50)/I50,"--"))</f>
        <v>0.941</v>
      </c>
      <c r="L50" s="1207" t="s">
        <v>292</v>
      </c>
      <c r="M50" s="823"/>
      <c r="N50" s="558"/>
      <c r="O50" s="558"/>
      <c r="P50" s="558"/>
      <c r="Q50" s="558"/>
    </row>
    <row r="51" spans="1:17" ht="11.25" customHeight="1">
      <c r="A51" s="428" t="s">
        <v>373</v>
      </c>
      <c r="B51" s="400"/>
      <c r="C51" s="431"/>
      <c r="D51" s="743"/>
      <c r="E51" s="743"/>
      <c r="F51" s="743"/>
      <c r="G51" s="743"/>
      <c r="H51" s="1421"/>
      <c r="I51" s="1449">
        <f>[2]!F013P530F1000</f>
        <v>0</v>
      </c>
      <c r="J51" s="1461">
        <f>SUM(D52:H52)</f>
        <v>24856</v>
      </c>
      <c r="K51" s="1447" t="str">
        <f>IF(I51=J51,0,IF(I51&gt;0,(J51-I51)/I51,"--"))</f>
        <v>--</v>
      </c>
      <c r="L51" s="1207"/>
      <c r="M51" s="823"/>
      <c r="N51" s="558"/>
      <c r="O51" s="558"/>
      <c r="P51" s="558"/>
      <c r="Q51" s="558"/>
    </row>
    <row r="52" spans="1:17" ht="11.25" customHeight="1">
      <c r="A52" s="428" t="s">
        <v>571</v>
      </c>
      <c r="B52" s="400"/>
      <c r="C52" s="431" t="s">
        <v>293</v>
      </c>
      <c r="D52" s="1316">
        <v>19656</v>
      </c>
      <c r="E52" s="1316">
        <v>5200</v>
      </c>
      <c r="F52" s="1316">
        <v>0</v>
      </c>
      <c r="G52" s="1316">
        <v>0</v>
      </c>
      <c r="H52" s="1457"/>
      <c r="I52" s="1450"/>
      <c r="J52" s="1462"/>
      <c r="K52" s="1448"/>
      <c r="L52" s="1207"/>
      <c r="M52" s="823"/>
      <c r="N52" s="558"/>
      <c r="O52" s="558"/>
      <c r="P52" s="558"/>
      <c r="Q52" s="558"/>
    </row>
    <row r="53" spans="1:17" ht="11.25" customHeight="1">
      <c r="A53" s="537" t="s">
        <v>87</v>
      </c>
      <c r="B53" s="463"/>
      <c r="C53" s="464"/>
      <c r="D53" s="743"/>
      <c r="E53" s="743"/>
      <c r="F53" s="743"/>
      <c r="G53" s="743"/>
      <c r="H53" s="1421"/>
      <c r="I53" s="1449">
        <f>[2]!F013POtherF1000</f>
        <v>0</v>
      </c>
      <c r="J53" s="1461">
        <f>SUM(D54:H54)</f>
        <v>0</v>
      </c>
      <c r="K53" s="1466">
        <f>IF(I53=J53,0,IF(I53&gt;0,(J53-I53)/I53,"--"))</f>
        <v>0</v>
      </c>
      <c r="L53" s="1208"/>
      <c r="M53" s="823"/>
      <c r="N53" s="558"/>
      <c r="O53" s="558"/>
      <c r="P53" s="558"/>
      <c r="Q53" s="558"/>
    </row>
    <row r="54" spans="1:17" ht="11.25" customHeight="1">
      <c r="A54" s="462" t="s">
        <v>571</v>
      </c>
      <c r="B54" s="463"/>
      <c r="C54" s="464" t="s">
        <v>294</v>
      </c>
      <c r="D54" s="1316">
        <v>0</v>
      </c>
      <c r="E54" s="1316">
        <v>0</v>
      </c>
      <c r="F54" s="1316">
        <v>0</v>
      </c>
      <c r="G54" s="1316">
        <v>0</v>
      </c>
      <c r="H54" s="1465"/>
      <c r="I54" s="1450"/>
      <c r="J54" s="1462"/>
      <c r="K54" s="1467"/>
      <c r="L54" s="1208" t="s">
        <v>294</v>
      </c>
      <c r="M54" s="823"/>
      <c r="N54" s="558"/>
      <c r="O54" s="558"/>
      <c r="P54" s="558"/>
      <c r="Q54" s="558"/>
    </row>
    <row r="55" spans="1:17" ht="11.25" customHeight="1">
      <c r="A55" s="462" t="s">
        <v>34</v>
      </c>
      <c r="B55" s="463"/>
      <c r="C55" s="464" t="s">
        <v>295</v>
      </c>
      <c r="D55" s="1317">
        <v>0</v>
      </c>
      <c r="E55" s="1317">
        <v>0</v>
      </c>
      <c r="F55" s="1317">
        <v>0</v>
      </c>
      <c r="G55" s="1317">
        <v>0</v>
      </c>
      <c r="H55" s="513"/>
      <c r="I55" s="451">
        <f>[2]!F013POtherF21002200</f>
        <v>0</v>
      </c>
      <c r="J55" s="538">
        <f>SUM(D55:H55)</f>
        <v>0</v>
      </c>
      <c r="K55" s="465">
        <f>IF(I55=J55,0,IF(I55&gt;0,(J55-I55)/I55,"--"))</f>
        <v>0</v>
      </c>
      <c r="L55" s="1208" t="s">
        <v>295</v>
      </c>
      <c r="M55" s="823"/>
      <c r="N55" s="558"/>
      <c r="O55" s="558"/>
      <c r="P55" s="558"/>
      <c r="Q55" s="558"/>
    </row>
    <row r="56" spans="1:24" ht="11.25" customHeight="1">
      <c r="A56" s="462" t="s">
        <v>35</v>
      </c>
      <c r="B56" s="463"/>
      <c r="C56" s="464" t="s">
        <v>296</v>
      </c>
      <c r="D56" s="538">
        <f>SUM(D54:D55)</f>
        <v>0</v>
      </c>
      <c r="E56" s="538">
        <f>SUM(E54:E55)</f>
        <v>0</v>
      </c>
      <c r="F56" s="538">
        <f>SUM(F54:F55)</f>
        <v>0</v>
      </c>
      <c r="G56" s="538">
        <f>SUM(G54:G55)</f>
        <v>0</v>
      </c>
      <c r="H56" s="514"/>
      <c r="I56" s="538">
        <f>'[2]Page 3'!$J$56</f>
        <v>0</v>
      </c>
      <c r="J56" s="538">
        <f>SUM(J53:J55)</f>
        <v>0</v>
      </c>
      <c r="K56" s="465">
        <f>IF(I56=J56,0,IF(I56&gt;0,(J56-I56)/I56,"--"))</f>
        <v>0</v>
      </c>
      <c r="L56" s="1208" t="s">
        <v>296</v>
      </c>
      <c r="M56" s="823"/>
      <c r="N56" s="558"/>
      <c r="O56" s="558"/>
      <c r="P56" s="558"/>
      <c r="Q56" s="558"/>
      <c r="R56" s="558"/>
      <c r="S56" s="558"/>
      <c r="T56" s="558"/>
      <c r="U56" s="558"/>
      <c r="V56" s="558"/>
      <c r="W56" s="558"/>
      <c r="X56" s="558"/>
    </row>
    <row r="57" spans="1:24" ht="11.25" customHeight="1">
      <c r="A57" s="462" t="s">
        <v>36</v>
      </c>
      <c r="B57" s="463"/>
      <c r="C57" s="848" t="s">
        <v>297</v>
      </c>
      <c r="D57" s="538">
        <f>D45+D50+D52+D56</f>
        <v>6024242</v>
      </c>
      <c r="E57" s="538">
        <f>E45+E50+E52+E56</f>
        <v>1627507</v>
      </c>
      <c r="F57" s="510">
        <f>F45+F50+F52+F56</f>
        <v>0</v>
      </c>
      <c r="G57" s="510">
        <f>G45+G50+G52+G56</f>
        <v>0</v>
      </c>
      <c r="H57" s="509"/>
      <c r="I57" s="451">
        <f>'[2]Page 3'!$J$57</f>
        <v>5975751</v>
      </c>
      <c r="J57" s="538">
        <f>D57+E57+F57+G57+H57</f>
        <v>7651749</v>
      </c>
      <c r="K57" s="465">
        <f>IF(I57=J57,0,IF(I57&gt;0,(J57-I57)/I57,"--"))</f>
        <v>0.28</v>
      </c>
      <c r="L57" s="1208" t="s">
        <v>297</v>
      </c>
      <c r="M57" s="1436" t="str">
        <f>IF(ROUND([0]!F013TotalExp,0)&lt;ROUND([0]!F013CSFBL,0),CONCATENATE("The district has budgeted an amount in Fund 013 which is less than the Classroom Site Fund Budget Limit as calculated on Page 8 of 8 by ",TEXT([0]!F013CSFBL-[0]!F013TotalExp,"$#,###"),"."),IF(ROUND([0]!F013TotalExp,0)&gt;ROUND([0]!F013CSFBL,0),CONCATENATE("The district has budgeted greater in Fund 013 than the Classroom Site Fund Budget Limit as calculated on Page 8 of 8 by ",TEXT(-[0]!F013CSFBL+'Page 3'!J57,"$#,###"),"."),IF(ROUND([0]!F013TotalExp,0)=ROUND([0]!F013CSFBL,0),CONCATENATE("The district has budgeted an amount in Fund 013 equal to the Classroom Site Fund Budget Limit as calculated on Page 8 of 8."))))</f>
        <v>The district has budgeted an amount in Fund 013 equal to the Classroom Site Fund Budget Limit as calculated on Page 8 of 8.</v>
      </c>
      <c r="N57" s="1436"/>
      <c r="O57" s="1436"/>
      <c r="P57" s="1436"/>
      <c r="Q57" s="1436"/>
      <c r="R57" s="1074"/>
      <c r="S57" s="1074"/>
      <c r="T57" s="1074"/>
      <c r="U57" s="1074"/>
      <c r="V57" s="1074"/>
      <c r="W57" s="1074"/>
      <c r="X57" s="558"/>
    </row>
    <row r="58" spans="1:17" ht="10.5" customHeight="1">
      <c r="A58" s="539" t="s">
        <v>37</v>
      </c>
      <c r="B58" s="540"/>
      <c r="C58" s="849" t="s">
        <v>298</v>
      </c>
      <c r="D58" s="453">
        <f>D22+D39+D57</f>
        <v>14000203</v>
      </c>
      <c r="E58" s="453">
        <f>E22+E39+E57</f>
        <v>3349603</v>
      </c>
      <c r="F58" s="448">
        <f>F22+F39+F57</f>
        <v>0</v>
      </c>
      <c r="G58" s="448">
        <f>G22+G39+G57</f>
        <v>0</v>
      </c>
      <c r="H58" s="448">
        <f>H22+H39+H57</f>
        <v>0</v>
      </c>
      <c r="I58" s="451">
        <f>[2]!TotClassSiteFundExpBudgFY</f>
        <v>14939378</v>
      </c>
      <c r="J58" s="453">
        <f>D58+E58+F58+G58+H58</f>
        <v>17349806</v>
      </c>
      <c r="K58" s="541">
        <f>IF(I58=J58,0,IF(I58&gt;0,(J58-I58)/I58,"--"))</f>
        <v>0.161</v>
      </c>
      <c r="L58" s="1208" t="s">
        <v>298</v>
      </c>
      <c r="M58" s="1436"/>
      <c r="N58" s="1436"/>
      <c r="O58" s="1436"/>
      <c r="P58" s="1436"/>
      <c r="Q58" s="1436"/>
    </row>
    <row r="59" spans="1:24" s="507" customFormat="1" ht="9.75" customHeight="1">
      <c r="A59" s="470"/>
      <c r="B59" s="502"/>
      <c r="C59" s="1463"/>
      <c r="D59" s="1464"/>
      <c r="E59" s="1464"/>
      <c r="F59" s="1464"/>
      <c r="G59" s="1464"/>
      <c r="H59" s="1464"/>
      <c r="I59" s="1464"/>
      <c r="J59" s="402"/>
      <c r="K59" s="402"/>
      <c r="L59" s="403"/>
      <c r="M59" s="1436"/>
      <c r="N59" s="1436"/>
      <c r="O59" s="1436"/>
      <c r="P59" s="1436"/>
      <c r="Q59" s="1436"/>
      <c r="R59" s="404"/>
      <c r="S59" s="404"/>
      <c r="T59" s="404"/>
      <c r="U59" s="404"/>
      <c r="V59" s="404"/>
      <c r="W59" s="404"/>
      <c r="X59" s="404"/>
    </row>
    <row r="60" spans="1:24" s="507" customFormat="1" ht="10.5" customHeight="1">
      <c r="A60" s="404"/>
      <c r="B60" s="502"/>
      <c r="C60" s="503"/>
      <c r="D60" s="503"/>
      <c r="E60" s="503"/>
      <c r="F60" s="503"/>
      <c r="G60" s="503"/>
      <c r="H60" s="503"/>
      <c r="I60" s="503"/>
      <c r="J60" s="402"/>
      <c r="K60" s="402"/>
      <c r="L60" s="403"/>
      <c r="M60" s="403"/>
      <c r="N60" s="404"/>
      <c r="O60" s="404"/>
      <c r="P60" s="404"/>
      <c r="Q60" s="404"/>
      <c r="R60" s="404"/>
      <c r="S60" s="404"/>
      <c r="T60" s="404"/>
      <c r="U60" s="404"/>
      <c r="V60" s="404"/>
      <c r="W60" s="404"/>
      <c r="X60" s="404"/>
    </row>
    <row r="61" spans="1:13" ht="11.25" customHeight="1">
      <c r="A61" s="469"/>
      <c r="B61" s="400"/>
      <c r="C61" s="431"/>
      <c r="D61" s="401"/>
      <c r="E61" s="401"/>
      <c r="F61" s="401"/>
      <c r="G61" s="401"/>
      <c r="H61" s="401"/>
      <c r="I61" s="401"/>
      <c r="J61" s="401"/>
      <c r="K61" s="456"/>
      <c r="L61" s="322"/>
      <c r="M61" s="322"/>
    </row>
  </sheetData>
  <sheetProtection sheet="1" formatCells="0" formatColumns="0" formatRows="0"/>
  <mergeCells count="60">
    <mergeCell ref="K53:K54"/>
    <mergeCell ref="F34:F35"/>
    <mergeCell ref="J53:J54"/>
    <mergeCell ref="H40:H42"/>
    <mergeCell ref="K51:K52"/>
    <mergeCell ref="J46:J47"/>
    <mergeCell ref="K46:K47"/>
    <mergeCell ref="K40:K42"/>
    <mergeCell ref="I46:I47"/>
    <mergeCell ref="J40:J42"/>
    <mergeCell ref="G34:G35"/>
    <mergeCell ref="C59:I59"/>
    <mergeCell ref="I53:I54"/>
    <mergeCell ref="H53:H54"/>
    <mergeCell ref="H46:H47"/>
    <mergeCell ref="I51:I52"/>
    <mergeCell ref="I12:I13"/>
    <mergeCell ref="I17:I18"/>
    <mergeCell ref="H12:H13"/>
    <mergeCell ref="H51:H52"/>
    <mergeCell ref="I40:I42"/>
    <mergeCell ref="J51:J52"/>
    <mergeCell ref="I34:I35"/>
    <mergeCell ref="H29:H30"/>
    <mergeCell ref="M22:Q24"/>
    <mergeCell ref="M39:Q41"/>
    <mergeCell ref="F29:F30"/>
    <mergeCell ref="F12:F13"/>
    <mergeCell ref="G17:G18"/>
    <mergeCell ref="K12:K13"/>
    <mergeCell ref="K23:K25"/>
    <mergeCell ref="J17:J18"/>
    <mergeCell ref="H17:H18"/>
    <mergeCell ref="G23:G25"/>
    <mergeCell ref="K29:K30"/>
    <mergeCell ref="I29:I30"/>
    <mergeCell ref="H34:H35"/>
    <mergeCell ref="H23:H25"/>
    <mergeCell ref="J23:J25"/>
    <mergeCell ref="I23:I25"/>
    <mergeCell ref="M57:Q59"/>
    <mergeCell ref="M1:N1"/>
    <mergeCell ref="B1:E1"/>
    <mergeCell ref="G12:G13"/>
    <mergeCell ref="I3:J3"/>
    <mergeCell ref="H6:H8"/>
    <mergeCell ref="F23:F25"/>
    <mergeCell ref="K1:L1"/>
    <mergeCell ref="K6:K8"/>
    <mergeCell ref="J12:J13"/>
    <mergeCell ref="F6:F8"/>
    <mergeCell ref="G6:G8"/>
    <mergeCell ref="J34:J35"/>
    <mergeCell ref="K17:K18"/>
    <mergeCell ref="I6:I8"/>
    <mergeCell ref="J6:J8"/>
    <mergeCell ref="F17:F18"/>
    <mergeCell ref="J29:J30"/>
    <mergeCell ref="K34:K35"/>
    <mergeCell ref="G29:G30"/>
  </mergeCells>
  <hyperlinks>
    <hyperlink ref="C58" location="Page3l40" display="40."/>
    <hyperlink ref="C22" location="Page3_13" display="13."/>
    <hyperlink ref="C39" location="Page3_13" display="26."/>
    <hyperlink ref="C57" location="Page3_13" display="39."/>
  </hyperlinks>
  <printOptions horizontalCentered="1"/>
  <pageMargins left="0.25" right="0.25" top="0.25" bottom="0.25" header="0" footer="0.25"/>
  <pageSetup fitToHeight="1" fitToWidth="1" horizontalDpi="600" verticalDpi="600" orientation="landscape" paperSize="5" scale="84" r:id="rId2"/>
  <headerFooter alignWithMargins="0">
    <oddFooter>&amp;C&amp;A</oddFooter>
  </headerFooter>
  <ignoredErrors>
    <ignoredError sqref="J50"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W42"/>
  <sheetViews>
    <sheetView showGridLines="0" zoomScale="130" zoomScaleNormal="130" zoomScalePageLayoutView="0" workbookViewId="0" topLeftCell="A13">
      <selection activeCell="Q33" sqref="Q33"/>
    </sheetView>
  </sheetViews>
  <sheetFormatPr defaultColWidth="8.77734375" defaultRowHeight="15"/>
  <cols>
    <col min="1" max="1" width="21.77734375" style="0" customWidth="1"/>
    <col min="2" max="2" width="10.5546875" style="0" customWidth="1"/>
    <col min="3" max="3" width="2.99609375" style="0" customWidth="1"/>
    <col min="4" max="8" width="10.77734375" style="0" customWidth="1"/>
    <col min="9" max="9" width="12.6640625" style="0" customWidth="1"/>
    <col min="10" max="10" width="12.77734375" style="0" customWidth="1"/>
    <col min="11" max="13" width="10.77734375" style="0" customWidth="1"/>
    <col min="14" max="14" width="3.4453125" style="588" customWidth="1"/>
    <col min="15" max="15" width="2.99609375" style="0" customWidth="1"/>
    <col min="16" max="17" width="8.77734375" style="0" customWidth="1"/>
    <col min="18" max="16384" width="8.77734375" style="255" customWidth="1"/>
  </cols>
  <sheetData>
    <row r="1" spans="1:15" ht="15">
      <c r="A1" s="457" t="s">
        <v>139</v>
      </c>
      <c r="B1" s="1387" t="str">
        <f>Cover!C1</f>
        <v>Gilbert Public Schools</v>
      </c>
      <c r="C1" s="1479"/>
      <c r="D1" s="1479"/>
      <c r="E1" s="1479"/>
      <c r="F1" s="457" t="s">
        <v>140</v>
      </c>
      <c r="G1" s="607" t="str">
        <f>Cover!H1</f>
        <v>Maricopa</v>
      </c>
      <c r="J1" s="458" t="s">
        <v>141</v>
      </c>
      <c r="K1" s="554" t="str">
        <f>Cover!Q1</f>
        <v>070241000</v>
      </c>
      <c r="L1" s="628" t="s">
        <v>172</v>
      </c>
      <c r="M1" s="627" t="str">
        <f>Cover!C8</f>
        <v>Revised #2</v>
      </c>
      <c r="N1" s="611"/>
      <c r="O1" s="611"/>
    </row>
    <row r="2" spans="1:16" ht="15">
      <c r="A2" s="88"/>
      <c r="B2" s="98"/>
      <c r="C2" s="98"/>
      <c r="D2" s="98"/>
      <c r="E2" s="98"/>
      <c r="F2" s="86"/>
      <c r="G2" s="88"/>
      <c r="H2" s="98"/>
      <c r="I2" s="98"/>
      <c r="J2" s="98"/>
      <c r="K2" s="86"/>
      <c r="L2" s="88"/>
      <c r="M2" s="98"/>
      <c r="N2" s="260"/>
      <c r="O2" s="289"/>
      <c r="P2" s="167"/>
    </row>
    <row r="3" spans="1:16" ht="15.75">
      <c r="A3" s="92" t="s">
        <v>555</v>
      </c>
      <c r="B3" s="92"/>
      <c r="C3" s="79"/>
      <c r="D3" s="1486" t="s">
        <v>546</v>
      </c>
      <c r="E3" s="1486"/>
      <c r="F3" s="1486"/>
      <c r="G3" s="1486"/>
      <c r="H3" s="1486"/>
      <c r="I3" s="1486"/>
      <c r="J3" s="1486"/>
      <c r="K3" s="1486"/>
      <c r="L3" s="1486"/>
      <c r="M3" s="99"/>
      <c r="N3" s="78"/>
      <c r="O3" s="224"/>
      <c r="P3" s="167"/>
    </row>
    <row r="4" spans="1:17" ht="24" customHeight="1">
      <c r="A4" s="100"/>
      <c r="B4" s="101"/>
      <c r="C4" s="101"/>
      <c r="D4" s="1480" t="s">
        <v>9</v>
      </c>
      <c r="E4" s="263" t="s">
        <v>12</v>
      </c>
      <c r="F4" s="1482" t="s">
        <v>107</v>
      </c>
      <c r="G4" s="1484" t="s">
        <v>331</v>
      </c>
      <c r="H4" s="1484" t="s">
        <v>332</v>
      </c>
      <c r="I4" s="869"/>
      <c r="J4" s="160" t="s">
        <v>145</v>
      </c>
      <c r="K4" s="103"/>
      <c r="L4" s="90"/>
      <c r="M4" s="78"/>
      <c r="N4" s="167"/>
      <c r="O4" s="167"/>
      <c r="Q4" s="255"/>
    </row>
    <row r="5" spans="1:17" ht="12" customHeight="1">
      <c r="A5" s="104"/>
      <c r="B5" s="105"/>
      <c r="C5" s="105"/>
      <c r="D5" s="1481"/>
      <c r="E5" s="319" t="s">
        <v>13</v>
      </c>
      <c r="F5" s="1483"/>
      <c r="G5" s="1485"/>
      <c r="H5" s="1485"/>
      <c r="I5" s="1012" t="s">
        <v>363</v>
      </c>
      <c r="J5" s="107" t="s">
        <v>563</v>
      </c>
      <c r="K5" s="106" t="s">
        <v>151</v>
      </c>
      <c r="L5" s="106" t="s">
        <v>152</v>
      </c>
      <c r="M5" s="78"/>
      <c r="N5" s="167"/>
      <c r="O5" s="167"/>
      <c r="Q5" s="255"/>
    </row>
    <row r="6" spans="1:17" ht="12" customHeight="1">
      <c r="A6" s="882" t="s">
        <v>153</v>
      </c>
      <c r="B6" s="79"/>
      <c r="C6" s="105"/>
      <c r="D6" s="1481"/>
      <c r="E6" s="319" t="s">
        <v>41</v>
      </c>
      <c r="F6" s="1483"/>
      <c r="G6" s="1485"/>
      <c r="H6" s="1485"/>
      <c r="I6" s="1012" t="s">
        <v>369</v>
      </c>
      <c r="J6" s="107" t="s">
        <v>382</v>
      </c>
      <c r="K6" s="106" t="s">
        <v>382</v>
      </c>
      <c r="L6" s="106" t="s">
        <v>155</v>
      </c>
      <c r="M6" s="78"/>
      <c r="N6" s="167"/>
      <c r="O6" s="167"/>
      <c r="Q6" s="255"/>
    </row>
    <row r="7" spans="1:17" ht="12" customHeight="1">
      <c r="A7" s="109"/>
      <c r="B7" s="110"/>
      <c r="C7" s="111"/>
      <c r="D7" s="112">
        <v>6440</v>
      </c>
      <c r="E7" s="112" t="s">
        <v>10</v>
      </c>
      <c r="F7" s="112">
        <v>6700</v>
      </c>
      <c r="G7" s="681" t="s">
        <v>532</v>
      </c>
      <c r="H7" s="681" t="s">
        <v>533</v>
      </c>
      <c r="I7" s="1013" t="s">
        <v>374</v>
      </c>
      <c r="J7" s="675">
        <v>2017</v>
      </c>
      <c r="K7" s="681">
        <v>2018</v>
      </c>
      <c r="L7" s="112" t="s">
        <v>160</v>
      </c>
      <c r="M7" s="78"/>
      <c r="N7" s="167"/>
      <c r="O7" s="167"/>
      <c r="Q7" s="255"/>
    </row>
    <row r="8" spans="1:17" ht="11.25" customHeight="1">
      <c r="A8" s="123" t="s">
        <v>11</v>
      </c>
      <c r="B8" s="124"/>
      <c r="C8" s="121" t="s">
        <v>118</v>
      </c>
      <c r="D8" s="97"/>
      <c r="E8" s="97"/>
      <c r="F8" s="97"/>
      <c r="G8" s="97"/>
      <c r="H8" s="97"/>
      <c r="I8" s="97"/>
      <c r="J8" s="114">
        <f>[2]!F610Override</f>
        <v>0</v>
      </c>
      <c r="K8" s="118">
        <f>SUM(D8:I8)</f>
        <v>0</v>
      </c>
      <c r="L8" s="244">
        <f aca="true" t="shared" si="0" ref="L8:L18">IF(J8=K8,0,IF(J8&gt;0,(K8-J8)/J8,"--"))</f>
        <v>0</v>
      </c>
      <c r="M8" s="591" t="s">
        <v>118</v>
      </c>
      <c r="N8" s="167"/>
      <c r="O8" s="167"/>
      <c r="Q8" s="255"/>
    </row>
    <row r="9" spans="1:17" ht="11.25" customHeight="1">
      <c r="A9" s="116" t="s">
        <v>485</v>
      </c>
      <c r="B9" s="84"/>
      <c r="C9" s="125"/>
      <c r="D9" s="750"/>
      <c r="E9" s="750"/>
      <c r="F9" s="751"/>
      <c r="G9" s="1489"/>
      <c r="H9" s="1488"/>
      <c r="I9" s="799"/>
      <c r="J9" s="1477">
        <f>[2]!F610F1000</f>
        <v>2975445</v>
      </c>
      <c r="K9" s="1475">
        <f>SUM(D10:I10)</f>
        <v>2096215</v>
      </c>
      <c r="L9" s="1492">
        <f>IF(J9=K9,0,IF(J9&gt;0,(K9-J9)/J9,"--"))</f>
        <v>-0.295</v>
      </c>
      <c r="M9" s="590"/>
      <c r="N9" s="167"/>
      <c r="O9" s="167"/>
      <c r="Q9" s="255"/>
    </row>
    <row r="10" spans="1:17" ht="11.25" customHeight="1">
      <c r="A10" s="104" t="s">
        <v>370</v>
      </c>
      <c r="B10" s="105"/>
      <c r="C10" s="119" t="s">
        <v>120</v>
      </c>
      <c r="D10" s="754"/>
      <c r="E10" s="754">
        <f>1010300+505</f>
        <v>1010805</v>
      </c>
      <c r="F10" s="1334">
        <f>242455+887640-44685</f>
        <v>1085410</v>
      </c>
      <c r="G10" s="1490"/>
      <c r="H10" s="1457"/>
      <c r="I10" s="595"/>
      <c r="J10" s="1478"/>
      <c r="K10" s="1476"/>
      <c r="L10" s="1493">
        <f t="shared" si="0"/>
        <v>0</v>
      </c>
      <c r="M10" s="591" t="s">
        <v>120</v>
      </c>
      <c r="N10" s="167"/>
      <c r="O10" s="167"/>
      <c r="Q10" s="255"/>
    </row>
    <row r="11" spans="1:17" ht="11.25" customHeight="1">
      <c r="A11" s="104" t="s">
        <v>3</v>
      </c>
      <c r="B11" s="105"/>
      <c r="C11" s="167"/>
      <c r="D11" s="750"/>
      <c r="E11" s="750"/>
      <c r="F11" s="752"/>
      <c r="G11" s="1489"/>
      <c r="H11" s="1488"/>
      <c r="I11" s="799"/>
      <c r="J11" s="1494">
        <f>[2]!F610F21002200</f>
        <v>1109683</v>
      </c>
      <c r="K11" s="1475">
        <f>SUM(D12:I12)</f>
        <v>582757</v>
      </c>
      <c r="L11" s="1492">
        <f>IF(J11=K11,0,IF(J11&gt;0,(K11-J11)/J11,"--"))</f>
        <v>-0.475</v>
      </c>
      <c r="M11" s="598"/>
      <c r="N11" s="167"/>
      <c r="O11" s="167"/>
      <c r="Q11" s="255"/>
    </row>
    <row r="12" spans="1:17" ht="11.25" customHeight="1">
      <c r="A12" s="665" t="s">
        <v>338</v>
      </c>
      <c r="B12" s="517"/>
      <c r="C12" s="119" t="s">
        <v>127</v>
      </c>
      <c r="D12" s="755"/>
      <c r="E12" s="755">
        <v>445763</v>
      </c>
      <c r="F12" s="756">
        <v>136994</v>
      </c>
      <c r="G12" s="1490"/>
      <c r="H12" s="1457"/>
      <c r="I12" s="595"/>
      <c r="J12" s="1495"/>
      <c r="K12" s="1384"/>
      <c r="L12" s="1493">
        <f t="shared" si="0"/>
        <v>0</v>
      </c>
      <c r="M12" s="591" t="s">
        <v>127</v>
      </c>
      <c r="N12" s="167"/>
      <c r="O12" s="167"/>
      <c r="Q12" s="255"/>
    </row>
    <row r="13" spans="1:17" ht="11.25" customHeight="1">
      <c r="A13" s="665" t="s">
        <v>333</v>
      </c>
      <c r="B13" s="517"/>
      <c r="C13" s="119" t="s">
        <v>131</v>
      </c>
      <c r="D13" s="317"/>
      <c r="E13" s="122"/>
      <c r="F13" s="97">
        <f>1449879+8409</f>
        <v>1458288</v>
      </c>
      <c r="G13" s="122"/>
      <c r="H13" s="317"/>
      <c r="I13" s="317"/>
      <c r="J13" s="343">
        <f>[2]!F610F2300240025002900</f>
        <v>708998</v>
      </c>
      <c r="K13" s="118">
        <f aca="true" t="shared" si="1" ref="K13:K18">SUM(D13:I13)</f>
        <v>1458288</v>
      </c>
      <c r="L13" s="320">
        <f t="shared" si="0"/>
        <v>1.057</v>
      </c>
      <c r="M13" s="591" t="s">
        <v>131</v>
      </c>
      <c r="N13" s="167"/>
      <c r="O13" s="167"/>
      <c r="Q13" s="255"/>
    </row>
    <row r="14" spans="1:17" ht="11.25" customHeight="1">
      <c r="A14" s="665" t="s">
        <v>112</v>
      </c>
      <c r="B14" s="517"/>
      <c r="C14" s="119" t="s">
        <v>132</v>
      </c>
      <c r="D14" s="317"/>
      <c r="E14" s="122"/>
      <c r="F14" s="97">
        <f>51047+14208+27201</f>
        <v>92456</v>
      </c>
      <c r="G14" s="122"/>
      <c r="H14" s="122"/>
      <c r="I14" s="317"/>
      <c r="J14" s="343">
        <f>[2]!F610F2600</f>
        <v>554446</v>
      </c>
      <c r="K14" s="118">
        <f t="shared" si="1"/>
        <v>92456</v>
      </c>
      <c r="L14" s="320">
        <f t="shared" si="0"/>
        <v>-0.833</v>
      </c>
      <c r="M14" s="591" t="s">
        <v>132</v>
      </c>
      <c r="N14" s="167"/>
      <c r="O14" s="167"/>
      <c r="Q14" s="255"/>
    </row>
    <row r="15" spans="1:17" ht="11.25" customHeight="1">
      <c r="A15" s="104" t="s">
        <v>6</v>
      </c>
      <c r="B15" s="105"/>
      <c r="C15" s="119" t="s">
        <v>133</v>
      </c>
      <c r="D15" s="317"/>
      <c r="E15" s="122"/>
      <c r="F15" s="97">
        <v>2464</v>
      </c>
      <c r="G15" s="122"/>
      <c r="H15" s="122"/>
      <c r="I15" s="317"/>
      <c r="J15" s="365">
        <f>[2]!F610F2700</f>
        <v>0</v>
      </c>
      <c r="K15" s="118">
        <f t="shared" si="1"/>
        <v>2464</v>
      </c>
      <c r="L15" s="320" t="str">
        <f t="shared" si="0"/>
        <v>--</v>
      </c>
      <c r="M15" s="591" t="s">
        <v>133</v>
      </c>
      <c r="N15" s="167"/>
      <c r="O15" s="167"/>
      <c r="Q15" s="255"/>
    </row>
    <row r="16" spans="1:17" ht="11.25" customHeight="1">
      <c r="A16" s="104" t="s">
        <v>91</v>
      </c>
      <c r="B16" s="105"/>
      <c r="C16" s="119" t="s">
        <v>134</v>
      </c>
      <c r="D16" s="317"/>
      <c r="E16" s="122"/>
      <c r="F16" s="97">
        <v>8567</v>
      </c>
      <c r="G16" s="122"/>
      <c r="H16" s="122"/>
      <c r="I16" s="317"/>
      <c r="J16" s="365">
        <f>[2]!F610F3000</f>
        <v>0</v>
      </c>
      <c r="K16" s="118">
        <f t="shared" si="1"/>
        <v>8567</v>
      </c>
      <c r="L16" s="320" t="str">
        <f t="shared" si="0"/>
        <v>--</v>
      </c>
      <c r="M16" s="591" t="s">
        <v>134</v>
      </c>
      <c r="N16" s="167"/>
      <c r="O16" s="167"/>
      <c r="Q16" s="255"/>
    </row>
    <row r="17" spans="1:17" ht="11.25" customHeight="1">
      <c r="A17" s="104" t="s">
        <v>7</v>
      </c>
      <c r="B17" s="105"/>
      <c r="C17" s="119" t="s">
        <v>176</v>
      </c>
      <c r="D17" s="317">
        <f>413088+2500</f>
        <v>415588</v>
      </c>
      <c r="E17" s="122"/>
      <c r="F17" s="97">
        <f>117938+10495</f>
        <v>128433</v>
      </c>
      <c r="G17" s="122"/>
      <c r="H17" s="122"/>
      <c r="I17" s="317"/>
      <c r="J17" s="365">
        <f>[2]!F610F4000</f>
        <v>586144</v>
      </c>
      <c r="K17" s="118">
        <f t="shared" si="1"/>
        <v>544021</v>
      </c>
      <c r="L17" s="320">
        <f t="shared" si="0"/>
        <v>-0.072</v>
      </c>
      <c r="M17" s="591" t="s">
        <v>176</v>
      </c>
      <c r="N17" s="167"/>
      <c r="O17" s="167"/>
      <c r="Q17" s="255"/>
    </row>
    <row r="18" spans="1:17" ht="11.25" customHeight="1">
      <c r="A18" s="104" t="s">
        <v>8</v>
      </c>
      <c r="B18" s="105"/>
      <c r="C18" s="119" t="s">
        <v>177</v>
      </c>
      <c r="D18" s="122"/>
      <c r="E18" s="122"/>
      <c r="F18" s="122"/>
      <c r="G18" s="97">
        <v>265785</v>
      </c>
      <c r="H18" s="97">
        <v>8637</v>
      </c>
      <c r="I18" s="801"/>
      <c r="J18" s="365">
        <f>[2]!F610F5000</f>
        <v>265284</v>
      </c>
      <c r="K18" s="118">
        <f t="shared" si="1"/>
        <v>274422</v>
      </c>
      <c r="L18" s="320">
        <f t="shared" si="0"/>
        <v>0.034</v>
      </c>
      <c r="M18" s="591" t="s">
        <v>177</v>
      </c>
      <c r="N18" s="167"/>
      <c r="O18" s="167"/>
      <c r="Q18" s="255"/>
    </row>
    <row r="19" spans="1:17" ht="11.25" customHeight="1">
      <c r="A19" s="120" t="s">
        <v>42</v>
      </c>
      <c r="B19" s="264"/>
      <c r="C19" s="851" t="s">
        <v>178</v>
      </c>
      <c r="D19" s="265">
        <f aca="true" t="shared" si="2" ref="D19:I19">D10+SUM(D12:D18)</f>
        <v>415588</v>
      </c>
      <c r="E19" s="265">
        <f t="shared" si="2"/>
        <v>1456568</v>
      </c>
      <c r="F19" s="265">
        <f t="shared" si="2"/>
        <v>2912612</v>
      </c>
      <c r="G19" s="265">
        <f t="shared" si="2"/>
        <v>265785</v>
      </c>
      <c r="H19" s="265">
        <f t="shared" si="2"/>
        <v>8637</v>
      </c>
      <c r="I19" s="265">
        <f t="shared" si="2"/>
        <v>0</v>
      </c>
      <c r="J19" s="265">
        <f>SUM(J9:J18)</f>
        <v>6200000</v>
      </c>
      <c r="K19" s="265">
        <f>SUM(K9:K18)</f>
        <v>5059190</v>
      </c>
      <c r="L19" s="978">
        <f>IF(J19=K19,0,IF(J19&gt;0,(K19-J19)/J19,"--"))</f>
        <v>-0.184</v>
      </c>
      <c r="M19" s="591" t="s">
        <v>178</v>
      </c>
      <c r="N19" s="255"/>
      <c r="O19" s="255"/>
      <c r="P19" s="255"/>
      <c r="Q19" s="255"/>
    </row>
    <row r="20" spans="1:23" ht="11.25" customHeight="1">
      <c r="A20" s="169"/>
      <c r="B20" s="169"/>
      <c r="C20" s="1065"/>
      <c r="D20" s="860"/>
      <c r="E20" s="860"/>
      <c r="F20" s="860"/>
      <c r="G20" s="860"/>
      <c r="H20" s="860"/>
      <c r="I20" s="860"/>
      <c r="J20" s="860"/>
      <c r="K20" s="860"/>
      <c r="L20" s="1062"/>
      <c r="M20" s="1063"/>
      <c r="N20" s="1046"/>
      <c r="O20" s="262"/>
      <c r="P20" s="262"/>
      <c r="Q20" s="262"/>
      <c r="R20" s="262"/>
      <c r="S20" s="262"/>
      <c r="T20" s="262"/>
      <c r="U20" s="262"/>
      <c r="V20" s="262"/>
      <c r="W20" s="262"/>
    </row>
    <row r="21" spans="1:23" ht="11.25" customHeight="1">
      <c r="A21" s="169"/>
      <c r="B21" s="169"/>
      <c r="C21" s="1065"/>
      <c r="D21" s="860"/>
      <c r="E21" s="1402" t="str">
        <f>IF(ROUND('Page 4'!K19,0)&lt;ROUND('Page 8'!K32,0),CONCATENATE("The district has budgeted an amount in the UCO Fund which is less than the Unrestricted Capital Budget Limit as calculated on Page 8 of 8 by ",TEXT('Page 8'!K32-'Page 4'!K19,"$#,###"),"."),IF(ROUND('Page 4'!K19,0)&gt;ROUND('Page 8'!K32,0),CONCATENATE("The district has budgeted greater in the UCO Fund than the Unrestricted Capital Budget Limit as calculated on Page 8 of 8 by ",TEXT(-'Page 8'!K32+'Page 4'!K19,"$#,###"),"."),IF(ROUND('Page 4'!K19,0)=ROUND('Page 8'!K32,0),CONCATENATE("The district has budgeted an amount in the UCO Fund equal to the Unrestricted Capital Budget Limit as calculated on Page 8 of 8."))))</f>
        <v>The district has budgeted an amount in the UCO Fund equal to the Unrestricted Capital Budget Limit as calculated on Page 8 of 8.</v>
      </c>
      <c r="F21" s="1402"/>
      <c r="G21" s="1402"/>
      <c r="H21" s="1402"/>
      <c r="I21" s="1402"/>
      <c r="J21" s="1402"/>
      <c r="K21" s="1402"/>
      <c r="L21" s="1402"/>
      <c r="M21" s="1064"/>
      <c r="N21" s="1064"/>
      <c r="O21" s="1064"/>
      <c r="P21" s="1047"/>
      <c r="Q21" s="262"/>
      <c r="R21" s="262"/>
      <c r="S21" s="262"/>
      <c r="T21" s="262"/>
      <c r="U21" s="262"/>
      <c r="V21" s="262"/>
      <c r="W21" s="262"/>
    </row>
    <row r="22" spans="1:16" ht="11.25" customHeight="1">
      <c r="A22" s="167"/>
      <c r="B22" s="167"/>
      <c r="C22" s="167"/>
      <c r="D22" s="167"/>
      <c r="E22" s="167"/>
      <c r="F22" s="167"/>
      <c r="G22" s="167"/>
      <c r="H22" s="167"/>
      <c r="I22" s="167"/>
      <c r="J22" s="167"/>
      <c r="K22" s="167"/>
      <c r="L22" s="167"/>
      <c r="M22" s="167"/>
      <c r="N22" s="599"/>
      <c r="O22" s="119"/>
      <c r="P22" s="167"/>
    </row>
    <row r="23" spans="1:16" ht="11.25" customHeight="1">
      <c r="A23" s="1499" t="s">
        <v>162</v>
      </c>
      <c r="B23" s="1500"/>
      <c r="C23" s="1500"/>
      <c r="D23" s="1500"/>
      <c r="E23" s="852" t="s">
        <v>104</v>
      </c>
      <c r="F23" s="1501" t="s">
        <v>548</v>
      </c>
      <c r="G23" s="1501"/>
      <c r="H23" s="1501"/>
      <c r="I23" s="1501"/>
      <c r="J23" s="1501"/>
      <c r="K23" s="557"/>
      <c r="L23" s="331"/>
      <c r="M23" s="557"/>
      <c r="N23" s="589"/>
      <c r="O23" s="284"/>
      <c r="P23" s="167"/>
    </row>
    <row r="24" spans="1:16" ht="11.25" customHeight="1">
      <c r="A24" s="1500"/>
      <c r="B24" s="1500"/>
      <c r="C24" s="1500"/>
      <c r="D24" s="1500"/>
      <c r="E24" s="558"/>
      <c r="F24" s="556"/>
      <c r="G24" s="556"/>
      <c r="H24" s="556"/>
      <c r="I24" s="556"/>
      <c r="J24" s="556"/>
      <c r="K24" s="559"/>
      <c r="L24" s="516"/>
      <c r="M24" s="560"/>
      <c r="N24" s="589"/>
      <c r="O24" s="284"/>
      <c r="P24" s="167"/>
    </row>
    <row r="25" spans="1:16" ht="12.75" customHeight="1">
      <c r="A25" s="1500"/>
      <c r="B25" s="1500"/>
      <c r="C25" s="1500"/>
      <c r="D25" s="1500"/>
      <c r="E25" s="558"/>
      <c r="F25" s="1491" t="s">
        <v>572</v>
      </c>
      <c r="G25" s="1491"/>
      <c r="H25" s="1491"/>
      <c r="I25" s="1491"/>
      <c r="J25" s="1491"/>
      <c r="K25" s="350"/>
      <c r="L25" s="516"/>
      <c r="M25" s="350"/>
      <c r="N25" s="589"/>
      <c r="O25" s="284"/>
      <c r="P25" s="167"/>
    </row>
    <row r="26" spans="1:16" ht="9.75" customHeight="1">
      <c r="A26" s="556"/>
      <c r="B26" s="556"/>
      <c r="C26" s="556"/>
      <c r="D26" s="556"/>
      <c r="E26" s="558"/>
      <c r="F26" s="1491" t="s">
        <v>547</v>
      </c>
      <c r="G26" s="1491"/>
      <c r="H26" s="1491"/>
      <c r="I26" s="1491"/>
      <c r="J26" s="1491"/>
      <c r="K26" s="562">
        <v>0</v>
      </c>
      <c r="L26" s="516"/>
      <c r="M26" s="979"/>
      <c r="N26" s="589"/>
      <c r="O26" s="284"/>
      <c r="P26" s="167"/>
    </row>
    <row r="27" spans="1:16" ht="11.25" customHeight="1">
      <c r="A27" s="105" t="s">
        <v>1</v>
      </c>
      <c r="B27" s="105"/>
      <c r="C27" s="105"/>
      <c r="D27" s="105"/>
      <c r="E27" s="331"/>
      <c r="F27" s="805"/>
      <c r="G27" s="805"/>
      <c r="H27" s="805"/>
      <c r="I27" s="805"/>
      <c r="J27" s="805"/>
      <c r="K27" s="974"/>
      <c r="L27" s="974"/>
      <c r="M27" s="974"/>
      <c r="N27" s="600"/>
      <c r="O27" s="321"/>
      <c r="P27" s="167"/>
    </row>
    <row r="28" spans="1:16" ht="11.25" customHeight="1">
      <c r="A28" s="105"/>
      <c r="B28" s="1496" t="s">
        <v>362</v>
      </c>
      <c r="C28" s="267"/>
      <c r="D28" s="1496"/>
      <c r="E28" s="331"/>
      <c r="F28" s="1498"/>
      <c r="G28" s="1498"/>
      <c r="H28" s="1498"/>
      <c r="I28" s="1498"/>
      <c r="J28" s="1498"/>
      <c r="K28" s="552"/>
      <c r="L28" s="558"/>
      <c r="M28" s="561"/>
      <c r="N28" s="600"/>
      <c r="O28" s="321"/>
      <c r="P28" s="167"/>
    </row>
    <row r="29" spans="1:16" ht="11.25" customHeight="1">
      <c r="A29" s="105"/>
      <c r="B29" s="1497"/>
      <c r="C29" s="267"/>
      <c r="D29" s="1496"/>
      <c r="K29" s="255"/>
      <c r="N29" s="600"/>
      <c r="O29" s="321"/>
      <c r="P29" s="167"/>
    </row>
    <row r="30" spans="1:16" ht="11.25" customHeight="1">
      <c r="A30" s="267" t="s">
        <v>163</v>
      </c>
      <c r="B30" s="530">
        <v>2458</v>
      </c>
      <c r="C30" s="115"/>
      <c r="D30" s="976"/>
      <c r="E30" s="668" t="s">
        <v>442</v>
      </c>
      <c r="F30" s="1487" t="s">
        <v>531</v>
      </c>
      <c r="G30" s="1487"/>
      <c r="H30" s="1487"/>
      <c r="I30" s="1487"/>
      <c r="J30" s="1487"/>
      <c r="K30" s="892"/>
      <c r="L30" s="812"/>
      <c r="M30" s="812"/>
      <c r="N30" s="127"/>
      <c r="O30" s="284"/>
      <c r="P30" s="167"/>
    </row>
    <row r="31" spans="1:16" ht="11.25" customHeight="1">
      <c r="A31" s="267" t="s">
        <v>164</v>
      </c>
      <c r="B31" s="333">
        <v>420740</v>
      </c>
      <c r="C31" s="115"/>
      <c r="D31" s="976"/>
      <c r="F31" s="1487"/>
      <c r="G31" s="1487"/>
      <c r="H31" s="1487"/>
      <c r="I31" s="1487"/>
      <c r="J31" s="1487"/>
      <c r="K31" s="955">
        <v>0</v>
      </c>
      <c r="L31" s="812"/>
      <c r="M31" s="812"/>
      <c r="N31" s="589"/>
      <c r="O31" s="284"/>
      <c r="P31" s="167"/>
    </row>
    <row r="32" spans="1:16" ht="11.25" customHeight="1">
      <c r="A32" s="267" t="s">
        <v>165</v>
      </c>
      <c r="B32" s="333">
        <v>1032865</v>
      </c>
      <c r="C32" s="115"/>
      <c r="D32" s="976"/>
      <c r="F32" s="812"/>
      <c r="G32" s="812"/>
      <c r="H32" s="812"/>
      <c r="I32" s="812"/>
      <c r="J32" s="812"/>
      <c r="K32" s="812"/>
      <c r="L32" s="812"/>
      <c r="M32" s="812"/>
      <c r="N32" s="589"/>
      <c r="O32" s="284"/>
      <c r="P32" s="167"/>
    </row>
    <row r="33" spans="1:15" ht="11.25" customHeight="1">
      <c r="A33" s="267" t="s">
        <v>628</v>
      </c>
      <c r="B33" s="506">
        <v>375116</v>
      </c>
      <c r="C33" s="115"/>
      <c r="D33" s="977"/>
      <c r="E33" s="276"/>
      <c r="F33" s="812"/>
      <c r="G33" s="812"/>
      <c r="H33" s="812"/>
      <c r="I33" s="812"/>
      <c r="J33" s="812"/>
      <c r="K33" s="812"/>
      <c r="L33" s="812"/>
      <c r="M33" s="812"/>
      <c r="O33" s="262"/>
    </row>
    <row r="34" spans="1:15" ht="10.5" customHeight="1">
      <c r="A34" s="267" t="s">
        <v>629</v>
      </c>
      <c r="B34" s="333"/>
      <c r="C34" s="115"/>
      <c r="D34" s="976"/>
      <c r="E34" s="276"/>
      <c r="F34" s="812"/>
      <c r="G34" s="812"/>
      <c r="H34" s="812"/>
      <c r="I34" s="812"/>
      <c r="J34" s="812"/>
      <c r="K34" s="812"/>
      <c r="L34" s="812"/>
      <c r="M34" s="812"/>
      <c r="O34" s="262"/>
    </row>
    <row r="35" spans="1:15" ht="10.5" customHeight="1">
      <c r="A35" s="693" t="s">
        <v>630</v>
      </c>
      <c r="B35" s="333">
        <v>1508109</v>
      </c>
      <c r="C35" s="115"/>
      <c r="D35" s="976"/>
      <c r="E35" s="276"/>
      <c r="F35" s="274"/>
      <c r="G35" s="332"/>
      <c r="H35" s="332"/>
      <c r="I35" s="332"/>
      <c r="J35" s="332"/>
      <c r="K35" s="332"/>
      <c r="L35" s="262"/>
      <c r="M35" s="262"/>
      <c r="O35" s="262"/>
    </row>
    <row r="36" spans="1:15" ht="10.5" customHeight="1">
      <c r="A36" s="272"/>
      <c r="B36" s="272"/>
      <c r="C36" s="273"/>
      <c r="D36" s="276"/>
      <c r="E36" s="276"/>
      <c r="F36" s="274"/>
      <c r="G36" s="332"/>
      <c r="H36" s="332"/>
      <c r="I36" s="332"/>
      <c r="J36" s="332"/>
      <c r="K36" s="332"/>
      <c r="L36" s="262"/>
      <c r="M36" s="262"/>
      <c r="O36" s="262"/>
    </row>
    <row r="37" spans="1:15" ht="11.25" customHeight="1">
      <c r="A37" s="516" t="s">
        <v>334</v>
      </c>
      <c r="B37" s="350"/>
      <c r="C37" s="646"/>
      <c r="D37" s="671">
        <v>0</v>
      </c>
      <c r="E37" s="350" t="s">
        <v>29</v>
      </c>
      <c r="F37" s="350"/>
      <c r="G37" s="671">
        <v>256649</v>
      </c>
      <c r="H37" s="350" t="s">
        <v>30</v>
      </c>
      <c r="I37" s="350"/>
      <c r="J37" s="671">
        <v>0</v>
      </c>
      <c r="K37" t="s">
        <v>359</v>
      </c>
      <c r="M37" s="268"/>
      <c r="N37" s="601"/>
      <c r="O37" s="275"/>
    </row>
    <row r="38" spans="1:15" ht="6" customHeight="1">
      <c r="A38" s="272"/>
      <c r="B38" s="272"/>
      <c r="C38" s="273"/>
      <c r="D38" s="272"/>
      <c r="E38" s="272"/>
      <c r="F38" s="274"/>
      <c r="G38" s="105"/>
      <c r="H38" s="276"/>
      <c r="I38" s="276"/>
      <c r="J38" s="270"/>
      <c r="K38" s="268"/>
      <c r="M38" s="268"/>
      <c r="N38" s="601"/>
      <c r="O38" s="275"/>
    </row>
    <row r="39" spans="1:15" ht="11.25" customHeight="1">
      <c r="A39" s="516" t="s">
        <v>335</v>
      </c>
      <c r="B39" s="350"/>
      <c r="C39" s="646"/>
      <c r="D39" s="671">
        <v>0</v>
      </c>
      <c r="E39" s="350" t="s">
        <v>27</v>
      </c>
      <c r="F39" s="350"/>
      <c r="G39" s="671">
        <v>8636</v>
      </c>
      <c r="H39" s="350" t="s">
        <v>31</v>
      </c>
      <c r="I39" s="350"/>
      <c r="J39" s="671">
        <v>0</v>
      </c>
      <c r="K39" t="s">
        <v>359</v>
      </c>
      <c r="M39" s="268"/>
      <c r="N39" s="601"/>
      <c r="O39" s="275"/>
    </row>
    <row r="40" spans="1:15" ht="11.25" customHeight="1">
      <c r="A40" s="272"/>
      <c r="B40" s="272"/>
      <c r="C40" s="273"/>
      <c r="D40" s="268"/>
      <c r="E40" s="268"/>
      <c r="F40" s="274"/>
      <c r="G40" s="268"/>
      <c r="H40" s="268"/>
      <c r="I40" s="268"/>
      <c r="J40" s="268"/>
      <c r="K40" s="268"/>
      <c r="L40" s="268"/>
      <c r="M40" s="268"/>
      <c r="N40" s="601"/>
      <c r="O40" s="275"/>
    </row>
    <row r="41" spans="1:15" ht="11.25" customHeight="1">
      <c r="A41" s="272"/>
      <c r="B41" s="272"/>
      <c r="C41" s="273"/>
      <c r="D41" s="275"/>
      <c r="E41" s="275"/>
      <c r="F41" s="274"/>
      <c r="G41" s="268"/>
      <c r="H41" s="268"/>
      <c r="I41" s="268"/>
      <c r="J41" s="268"/>
      <c r="K41" s="268"/>
      <c r="L41" s="268"/>
      <c r="M41" s="268"/>
      <c r="N41" s="601"/>
      <c r="O41" s="268"/>
    </row>
    <row r="42" spans="1:15" ht="11.25" customHeight="1">
      <c r="A42" s="272"/>
      <c r="B42" s="272"/>
      <c r="C42" s="273"/>
      <c r="D42" s="275"/>
      <c r="E42" s="275"/>
      <c r="F42" s="274"/>
      <c r="G42" s="268"/>
      <c r="H42" s="268"/>
      <c r="I42" s="268"/>
      <c r="J42" s="268"/>
      <c r="K42" s="268"/>
      <c r="L42" s="268"/>
      <c r="M42" s="268"/>
      <c r="N42" s="601"/>
      <c r="O42" s="271"/>
    </row>
  </sheetData>
  <sheetProtection sheet="1" formatCells="0" formatColumns="0" formatRows="0"/>
  <mergeCells count="25">
    <mergeCell ref="B28:B29"/>
    <mergeCell ref="D28:D29"/>
    <mergeCell ref="F28:J28"/>
    <mergeCell ref="A23:D25"/>
    <mergeCell ref="F25:J25"/>
    <mergeCell ref="F23:J23"/>
    <mergeCell ref="F30:J31"/>
    <mergeCell ref="H11:H12"/>
    <mergeCell ref="G11:G12"/>
    <mergeCell ref="H9:H10"/>
    <mergeCell ref="G9:G10"/>
    <mergeCell ref="E21:L21"/>
    <mergeCell ref="F26:J26"/>
    <mergeCell ref="L11:L12"/>
    <mergeCell ref="J11:J12"/>
    <mergeCell ref="L9:L10"/>
    <mergeCell ref="K9:K10"/>
    <mergeCell ref="J9:J10"/>
    <mergeCell ref="K11:K12"/>
    <mergeCell ref="B1:E1"/>
    <mergeCell ref="D4:D6"/>
    <mergeCell ref="F4:F6"/>
    <mergeCell ref="G4:G6"/>
    <mergeCell ref="H4:H6"/>
    <mergeCell ref="D3:L3"/>
  </mergeCells>
  <hyperlinks>
    <hyperlink ref="E23" location="Page4f5" display="(5)"/>
    <hyperlink ref="C19" location="Page4L10" display="10."/>
  </hyperlinks>
  <printOptions horizontalCentered="1"/>
  <pageMargins left="0.25" right="0.25" top="0.25" bottom="0.25" header="0" footer="0.25"/>
  <pageSetup fitToHeight="1" fitToWidth="1" horizontalDpi="600" verticalDpi="600" orientation="landscape" paperSize="5"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25"/>
  <sheetViews>
    <sheetView showGridLines="0" zoomScalePageLayoutView="0" workbookViewId="0" topLeftCell="A1">
      <selection activeCell="Q33" sqref="Q33"/>
    </sheetView>
  </sheetViews>
  <sheetFormatPr defaultColWidth="8.88671875" defaultRowHeight="15"/>
  <cols>
    <col min="1" max="1" width="19.99609375" style="0" customWidth="1"/>
    <col min="2" max="2" width="18.4453125" style="0" customWidth="1"/>
    <col min="3" max="3" width="3.21484375" style="0" customWidth="1"/>
    <col min="4" max="5" width="10.77734375" style="0" customWidth="1"/>
    <col min="12" max="12" width="2.6640625" style="0" customWidth="1"/>
    <col min="13" max="13" width="7.5546875" style="0" customWidth="1"/>
    <col min="14" max="14" width="11.6640625" style="0" customWidth="1"/>
  </cols>
  <sheetData>
    <row r="1" spans="1:14" ht="15">
      <c r="A1" s="457" t="s">
        <v>139</v>
      </c>
      <c r="B1" s="1387" t="str">
        <f>Cover!C1</f>
        <v>Gilbert Public Schools</v>
      </c>
      <c r="C1" s="1502"/>
      <c r="D1" s="1502"/>
      <c r="E1" s="1502"/>
      <c r="F1" s="86"/>
      <c r="G1" s="457" t="s">
        <v>140</v>
      </c>
      <c r="H1" s="606" t="str">
        <f>Cover!H1</f>
        <v>Maricopa</v>
      </c>
      <c r="I1" s="260"/>
      <c r="J1" s="457" t="s">
        <v>141</v>
      </c>
      <c r="K1" s="554" t="str">
        <f>Cover!Q1</f>
        <v>070241000</v>
      </c>
      <c r="L1" s="610"/>
      <c r="M1" s="629" t="s">
        <v>172</v>
      </c>
      <c r="N1" s="624" t="str">
        <f>Cover!C8</f>
        <v>Revised #2</v>
      </c>
    </row>
    <row r="2" spans="1:15" ht="15.75">
      <c r="A2" s="88"/>
      <c r="B2" s="98"/>
      <c r="C2" s="98"/>
      <c r="D2" s="98"/>
      <c r="E2" s="98"/>
      <c r="F2" s="86"/>
      <c r="G2" s="88"/>
      <c r="H2" s="98"/>
      <c r="I2" s="98"/>
      <c r="J2" s="86"/>
      <c r="K2" s="88"/>
      <c r="L2" s="98"/>
      <c r="M2" s="167"/>
      <c r="N2" s="167"/>
      <c r="O2" s="79"/>
    </row>
    <row r="3" spans="1:15" ht="15.75">
      <c r="A3" s="982" t="s">
        <v>500</v>
      </c>
      <c r="B3" s="982"/>
      <c r="C3" s="982"/>
      <c r="D3" s="982"/>
      <c r="E3" s="982"/>
      <c r="F3" s="982"/>
      <c r="G3" s="982"/>
      <c r="H3" s="982"/>
      <c r="I3" s="982"/>
      <c r="J3" s="981"/>
      <c r="K3" s="981"/>
      <c r="L3" s="557"/>
      <c r="M3" s="557"/>
      <c r="N3" s="557"/>
      <c r="O3" s="532"/>
    </row>
    <row r="4" spans="1:15" ht="15.75">
      <c r="A4" s="908"/>
      <c r="B4" s="908"/>
      <c r="C4" s="908"/>
      <c r="D4" s="909"/>
      <c r="E4" s="910"/>
      <c r="F4" s="911"/>
      <c r="G4" s="911"/>
      <c r="H4" s="911"/>
      <c r="I4" s="911"/>
      <c r="J4" s="911"/>
      <c r="K4" s="911"/>
      <c r="L4" s="557"/>
      <c r="M4" s="901"/>
      <c r="N4" s="901"/>
      <c r="O4" s="532"/>
    </row>
    <row r="5" spans="1:13" ht="15">
      <c r="A5" s="912"/>
      <c r="B5" s="913"/>
      <c r="C5" s="914"/>
      <c r="D5" s="1503" t="s">
        <v>543</v>
      </c>
      <c r="E5" s="1504"/>
      <c r="F5" s="1505" t="s">
        <v>501</v>
      </c>
      <c r="G5" s="1505"/>
      <c r="H5" s="1505" t="s">
        <v>502</v>
      </c>
      <c r="I5" s="1505"/>
      <c r="J5" s="1507" t="s">
        <v>604</v>
      </c>
      <c r="K5" s="1508"/>
      <c r="L5" s="902"/>
      <c r="M5" s="899"/>
    </row>
    <row r="6" spans="1:13" ht="15">
      <c r="A6" s="936" t="s">
        <v>153</v>
      </c>
      <c r="B6" s="937"/>
      <c r="C6" s="938"/>
      <c r="D6" s="1511" t="s">
        <v>542</v>
      </c>
      <c r="E6" s="1512"/>
      <c r="F6" s="1506" t="s">
        <v>503</v>
      </c>
      <c r="G6" s="1506"/>
      <c r="H6" s="1506" t="s">
        <v>504</v>
      </c>
      <c r="I6" s="1506"/>
      <c r="J6" s="1509" t="s">
        <v>696</v>
      </c>
      <c r="K6" s="1510"/>
      <c r="L6" s="1147"/>
      <c r="M6" s="906"/>
    </row>
    <row r="7" spans="1:13" ht="15">
      <c r="A7" s="917"/>
      <c r="B7" s="918"/>
      <c r="C7" s="919"/>
      <c r="D7" s="920" t="s">
        <v>564</v>
      </c>
      <c r="E7" s="921" t="s">
        <v>383</v>
      </c>
      <c r="F7" s="920" t="s">
        <v>564</v>
      </c>
      <c r="G7" s="921" t="s">
        <v>383</v>
      </c>
      <c r="H7" s="920" t="s">
        <v>564</v>
      </c>
      <c r="I7" s="921" t="s">
        <v>383</v>
      </c>
      <c r="J7" s="1151" t="s">
        <v>564</v>
      </c>
      <c r="K7" s="1152" t="s">
        <v>383</v>
      </c>
      <c r="L7" s="805"/>
      <c r="M7" s="823"/>
    </row>
    <row r="8" spans="1:13" ht="13.5" customHeight="1">
      <c r="A8" s="922" t="s">
        <v>505</v>
      </c>
      <c r="B8" s="923"/>
      <c r="C8" s="924" t="s">
        <v>118</v>
      </c>
      <c r="D8" s="963">
        <f>F610TotalCurrFY</f>
        <v>6200000</v>
      </c>
      <c r="E8" s="950">
        <f>F610TotalBudgFY</f>
        <v>5059190</v>
      </c>
      <c r="F8" s="964">
        <f>[2]!F630TotalBudgFY</f>
        <v>31492768</v>
      </c>
      <c r="G8" s="1328">
        <f>23320000+8000000</f>
        <v>31320000</v>
      </c>
      <c r="H8" s="964">
        <f>[2]!F695TotalBudgFY</f>
        <v>0</v>
      </c>
      <c r="I8" s="960">
        <v>0</v>
      </c>
      <c r="J8" s="1224">
        <f>[2]!F620TotalBudgFY</f>
        <v>0</v>
      </c>
      <c r="K8" s="1257">
        <v>0</v>
      </c>
      <c r="L8" s="970" t="s">
        <v>118</v>
      </c>
      <c r="M8" s="899"/>
    </row>
    <row r="9" spans="1:13" ht="13.5" customHeight="1">
      <c r="A9" s="969" t="s">
        <v>506</v>
      </c>
      <c r="B9" s="913"/>
      <c r="C9" s="924"/>
      <c r="D9" s="987"/>
      <c r="E9" s="951"/>
      <c r="F9" s="991"/>
      <c r="G9" s="952"/>
      <c r="H9" s="991"/>
      <c r="I9" s="952"/>
      <c r="J9" s="1232"/>
      <c r="K9" s="1153"/>
      <c r="L9" s="970"/>
      <c r="M9" s="823"/>
    </row>
    <row r="10" spans="1:13" ht="13.5" customHeight="1">
      <c r="A10" s="915" t="s">
        <v>507</v>
      </c>
      <c r="B10" s="916"/>
      <c r="C10" s="925" t="s">
        <v>120</v>
      </c>
      <c r="D10" s="988">
        <f>[2]!F610BudgFYO6150</f>
        <v>0</v>
      </c>
      <c r="E10" s="947">
        <v>0</v>
      </c>
      <c r="F10" s="988">
        <f>[2]!F630BudgFYO6150</f>
        <v>0</v>
      </c>
      <c r="G10" s="947">
        <v>0</v>
      </c>
      <c r="H10" s="988">
        <f>[2]!F695BudgFYO6150</f>
        <v>0</v>
      </c>
      <c r="I10" s="947">
        <v>0</v>
      </c>
      <c r="J10" s="988">
        <f>[2]!F620BudgFYO6150</f>
        <v>0</v>
      </c>
      <c r="K10" s="1158">
        <v>0</v>
      </c>
      <c r="L10" s="1155" t="s">
        <v>120</v>
      </c>
      <c r="M10" s="823"/>
    </row>
    <row r="11" spans="1:13" ht="13.5" customHeight="1">
      <c r="A11" s="915" t="s">
        <v>508</v>
      </c>
      <c r="B11" s="916"/>
      <c r="C11" s="925" t="s">
        <v>127</v>
      </c>
      <c r="D11" s="989">
        <f>[2]!F610BudgFYO6200</f>
        <v>0</v>
      </c>
      <c r="E11" s="948">
        <v>0</v>
      </c>
      <c r="F11" s="992">
        <f>[2]!F630BudgFYO6200</f>
        <v>0</v>
      </c>
      <c r="G11" s="948">
        <v>0</v>
      </c>
      <c r="H11" s="992">
        <f>[2]!F695BudgFYO6200</f>
        <v>0</v>
      </c>
      <c r="I11" s="948">
        <v>0</v>
      </c>
      <c r="J11" s="992">
        <f>[2]!F620BudgFYO6200</f>
        <v>0</v>
      </c>
      <c r="K11" s="454">
        <v>0</v>
      </c>
      <c r="L11" s="1155" t="s">
        <v>127</v>
      </c>
      <c r="M11" s="907"/>
    </row>
    <row r="12" spans="1:13" ht="13.5" customHeight="1">
      <c r="A12" s="915" t="s">
        <v>509</v>
      </c>
      <c r="B12" s="916"/>
      <c r="C12" s="925" t="s">
        <v>131</v>
      </c>
      <c r="D12" s="989">
        <f>[2]!F610BudgFYO6450</f>
        <v>330116</v>
      </c>
      <c r="E12" s="948">
        <v>413088</v>
      </c>
      <c r="F12" s="992">
        <f>[2]!F630BudgFYO6450</f>
        <v>2546830</v>
      </c>
      <c r="G12" s="948">
        <v>3000000</v>
      </c>
      <c r="H12" s="992">
        <f>[2]!F695BudgFYO6450</f>
        <v>0</v>
      </c>
      <c r="I12" s="948">
        <v>0</v>
      </c>
      <c r="J12" s="992">
        <f>[2]!F620BudgFYO6450</f>
        <v>0</v>
      </c>
      <c r="K12" s="454">
        <v>0</v>
      </c>
      <c r="L12" s="1155" t="s">
        <v>131</v>
      </c>
      <c r="M12" s="907"/>
    </row>
    <row r="13" spans="1:13" ht="13.5" customHeight="1">
      <c r="A13" s="915" t="s">
        <v>510</v>
      </c>
      <c r="B13" s="916"/>
      <c r="C13" s="925" t="s">
        <v>132</v>
      </c>
      <c r="D13" s="989">
        <f>[2]!F610BudgFYO6710</f>
        <v>27000</v>
      </c>
      <c r="E13" s="948">
        <v>147640</v>
      </c>
      <c r="F13" s="992">
        <f>[2]!F630BudgFYO6710</f>
        <v>554778</v>
      </c>
      <c r="G13" s="948">
        <f>4400000+4500000+8000000</f>
        <v>16900000</v>
      </c>
      <c r="H13" s="992">
        <f>[2]!F695BudgFYO6710</f>
        <v>0</v>
      </c>
      <c r="I13" s="948">
        <v>0</v>
      </c>
      <c r="J13" s="992">
        <f>[2]!F620BudgFYO6710</f>
        <v>0</v>
      </c>
      <c r="K13" s="454">
        <v>0</v>
      </c>
      <c r="L13" s="1155" t="s">
        <v>132</v>
      </c>
      <c r="M13" s="907"/>
    </row>
    <row r="14" spans="1:13" ht="13.5" customHeight="1">
      <c r="A14" s="915" t="s">
        <v>511</v>
      </c>
      <c r="B14" s="916"/>
      <c r="C14" s="925" t="s">
        <v>133</v>
      </c>
      <c r="D14" s="989">
        <f>[2]!F610BudgFYO6720</f>
        <v>0</v>
      </c>
      <c r="E14" s="948">
        <v>0</v>
      </c>
      <c r="F14" s="992">
        <f>[2]!F630BudgFYO6720</f>
        <v>142984</v>
      </c>
      <c r="G14" s="948"/>
      <c r="H14" s="992">
        <f>[2]!F695BudgFYO6720</f>
        <v>0</v>
      </c>
      <c r="I14" s="948">
        <v>0</v>
      </c>
      <c r="J14" s="992">
        <f>[2]!F620BudgFYO6720</f>
        <v>0</v>
      </c>
      <c r="K14" s="454">
        <v>0</v>
      </c>
      <c r="L14" s="1155" t="s">
        <v>133</v>
      </c>
      <c r="M14" s="823"/>
    </row>
    <row r="15" spans="1:13" ht="13.5" customHeight="1">
      <c r="A15" s="915" t="s">
        <v>634</v>
      </c>
      <c r="B15" s="916"/>
      <c r="C15" s="925" t="s">
        <v>134</v>
      </c>
      <c r="D15" s="989">
        <f>[2]!F610BudgFYO6731</f>
        <v>2096</v>
      </c>
      <c r="E15" s="927">
        <f>[0]!F610O6731</f>
        <v>375116</v>
      </c>
      <c r="F15" s="992">
        <f>[2]!F630BudgFYO6731</f>
        <v>20266232</v>
      </c>
      <c r="G15" s="948">
        <v>200000</v>
      </c>
      <c r="H15" s="992">
        <f>[2]!F695BudgFYO6731</f>
        <v>0</v>
      </c>
      <c r="I15" s="948">
        <v>0</v>
      </c>
      <c r="J15" s="992">
        <f>[2]!F620BudgFYO6731</f>
        <v>0</v>
      </c>
      <c r="K15" s="454">
        <v>0</v>
      </c>
      <c r="L15" s="1155" t="s">
        <v>134</v>
      </c>
      <c r="M15" s="823"/>
    </row>
    <row r="16" spans="1:13" ht="13.5" customHeight="1">
      <c r="A16" s="915" t="s">
        <v>635</v>
      </c>
      <c r="B16" s="916"/>
      <c r="C16" s="925" t="s">
        <v>176</v>
      </c>
      <c r="D16" s="989">
        <f>[2]!F610BudgFYO6734</f>
        <v>0</v>
      </c>
      <c r="E16" s="927">
        <f>[0]!F610O6734</f>
        <v>0</v>
      </c>
      <c r="F16" s="992">
        <f>[2]!F630BudgFYO6734</f>
        <v>7343942</v>
      </c>
      <c r="G16" s="948">
        <v>4100000</v>
      </c>
      <c r="H16" s="992">
        <f>[2]!F695BudgFYO6734</f>
        <v>0</v>
      </c>
      <c r="I16" s="948">
        <v>0</v>
      </c>
      <c r="J16" s="992">
        <f>[2]!F620BudgFYO6734</f>
        <v>0</v>
      </c>
      <c r="K16" s="454">
        <v>0</v>
      </c>
      <c r="L16" s="1155" t="s">
        <v>176</v>
      </c>
      <c r="M16" s="823"/>
    </row>
    <row r="17" spans="1:13" ht="13.5" customHeight="1">
      <c r="A17" s="915" t="s">
        <v>636</v>
      </c>
      <c r="B17" s="916"/>
      <c r="C17" s="925" t="s">
        <v>177</v>
      </c>
      <c r="D17" s="989">
        <f>[2]!F610BudgFYO6737</f>
        <v>500</v>
      </c>
      <c r="E17" s="927">
        <v>1498973</v>
      </c>
      <c r="F17" s="992">
        <f>[2]!F630BudgFYO6737</f>
        <v>252466</v>
      </c>
      <c r="G17" s="948">
        <f>3800000+3320000</f>
        <v>7120000</v>
      </c>
      <c r="H17" s="992">
        <f>[2]!F695BudgFYO6737</f>
        <v>0</v>
      </c>
      <c r="I17" s="948">
        <v>0</v>
      </c>
      <c r="J17" s="992">
        <f>[2]!F620BudgFYO6737</f>
        <v>0</v>
      </c>
      <c r="K17" s="452">
        <v>0</v>
      </c>
      <c r="L17" s="934" t="s">
        <v>177</v>
      </c>
      <c r="M17" s="823"/>
    </row>
    <row r="18" spans="1:13" ht="13.5" customHeight="1">
      <c r="A18" s="1014" t="s">
        <v>549</v>
      </c>
      <c r="B18" s="916"/>
      <c r="C18" s="925" t="s">
        <v>178</v>
      </c>
      <c r="D18" s="989">
        <f>[2]!F610BudgFYO6831</f>
        <v>248293</v>
      </c>
      <c r="E18" s="948">
        <v>265785</v>
      </c>
      <c r="F18" s="992">
        <f>[2]!F630BudgFYO6831</f>
        <v>0</v>
      </c>
      <c r="G18" s="948"/>
      <c r="H18" s="992">
        <f>[2]!F695BudgFYO6831</f>
        <v>0</v>
      </c>
      <c r="I18" s="948">
        <v>0</v>
      </c>
      <c r="J18" s="992">
        <f>[2]!F620BudgFYO6831</f>
        <v>0</v>
      </c>
      <c r="K18" s="452">
        <v>0</v>
      </c>
      <c r="L18" s="934" t="s">
        <v>178</v>
      </c>
      <c r="M18" s="823"/>
    </row>
    <row r="19" spans="1:13" ht="13.5" customHeight="1">
      <c r="A19" s="1014" t="s">
        <v>550</v>
      </c>
      <c r="B19" s="916"/>
      <c r="C19" s="925" t="s">
        <v>179</v>
      </c>
      <c r="D19" s="1125">
        <f>[2]!F610BudgFYO6841</f>
        <v>16991</v>
      </c>
      <c r="E19" s="1041">
        <v>8636</v>
      </c>
      <c r="F19" s="1126">
        <f>[2]!F630BudgFYO6841</f>
        <v>0</v>
      </c>
      <c r="G19" s="1041"/>
      <c r="H19" s="1126">
        <f>[2]!F695BudgFYO6841</f>
        <v>0</v>
      </c>
      <c r="I19" s="1041">
        <v>0</v>
      </c>
      <c r="J19" s="992">
        <f>[2]!F620BudgFYO6841</f>
        <v>0</v>
      </c>
      <c r="K19" s="1159">
        <v>0</v>
      </c>
      <c r="L19" s="934" t="s">
        <v>179</v>
      </c>
      <c r="M19" s="823"/>
    </row>
    <row r="20" spans="1:13" ht="13.5" customHeight="1">
      <c r="A20" s="1014" t="s">
        <v>579</v>
      </c>
      <c r="B20" s="1083"/>
      <c r="C20" s="1090" t="s">
        <v>180</v>
      </c>
      <c r="D20" s="1091">
        <f aca="true" t="shared" si="0" ref="D20:K20">SUM(D10:D19)</f>
        <v>624996</v>
      </c>
      <c r="E20" s="1091">
        <f t="shared" si="0"/>
        <v>2709238</v>
      </c>
      <c r="F20" s="1091">
        <f t="shared" si="0"/>
        <v>31107232</v>
      </c>
      <c r="G20" s="1091">
        <f t="shared" si="0"/>
        <v>31320000</v>
      </c>
      <c r="H20" s="1091">
        <f t="shared" si="0"/>
        <v>0</v>
      </c>
      <c r="I20" s="1091">
        <f t="shared" si="0"/>
        <v>0</v>
      </c>
      <c r="J20" s="1091">
        <f t="shared" si="0"/>
        <v>0</v>
      </c>
      <c r="K20" s="1091">
        <f t="shared" si="0"/>
        <v>0</v>
      </c>
      <c r="L20" s="1092" t="s">
        <v>180</v>
      </c>
      <c r="M20" s="823"/>
    </row>
    <row r="21" spans="1:13" ht="13.5" customHeight="1">
      <c r="A21" s="961" t="s">
        <v>512</v>
      </c>
      <c r="C21" s="926"/>
      <c r="D21" s="1042"/>
      <c r="E21" s="953"/>
      <c r="F21" s="1042"/>
      <c r="G21" s="1043"/>
      <c r="H21" s="1043"/>
      <c r="I21" s="1156"/>
      <c r="J21" s="1157"/>
      <c r="K21" s="1154"/>
      <c r="L21" s="935"/>
      <c r="M21" s="823"/>
    </row>
    <row r="22" spans="1:13" ht="13.5" customHeight="1">
      <c r="A22" s="915" t="s">
        <v>513</v>
      </c>
      <c r="B22" s="916"/>
      <c r="C22" s="1084" t="s">
        <v>181</v>
      </c>
      <c r="D22" s="989">
        <f>[2]!F610BudgFYRenovation</f>
        <v>24996</v>
      </c>
      <c r="E22" s="949">
        <v>371283</v>
      </c>
      <c r="F22" s="992">
        <f>[2]!F630BudgFYRenovation</f>
        <v>20000000</v>
      </c>
      <c r="G22" s="949">
        <v>16900000</v>
      </c>
      <c r="H22" s="1175"/>
      <c r="I22" s="1175"/>
      <c r="J22" s="1231">
        <f>[2]!F620BudgFYRenovation</f>
        <v>0</v>
      </c>
      <c r="K22" s="1160">
        <v>0</v>
      </c>
      <c r="L22" s="1085" t="s">
        <v>181</v>
      </c>
      <c r="M22" s="823"/>
    </row>
    <row r="23" spans="1:13" ht="13.5" customHeight="1">
      <c r="A23" s="1014" t="s">
        <v>514</v>
      </c>
      <c r="B23" s="1083"/>
      <c r="C23" s="1084" t="s">
        <v>182</v>
      </c>
      <c r="D23" s="989">
        <f>[2]!F610BudgFYNewConstruction</f>
        <v>0</v>
      </c>
      <c r="E23" s="949">
        <v>0</v>
      </c>
      <c r="F23" s="992">
        <f>[2]!F630BudgFYNewConstruction</f>
        <v>0</v>
      </c>
      <c r="G23" s="949">
        <v>3000000</v>
      </c>
      <c r="H23" s="992">
        <f>[2]!F695BudgFYNewConstruction</f>
        <v>0</v>
      </c>
      <c r="I23" s="949">
        <v>0</v>
      </c>
      <c r="J23" s="1231">
        <f>[2]!F620BudgFYNewConstruction</f>
        <v>0</v>
      </c>
      <c r="K23" s="452">
        <v>0</v>
      </c>
      <c r="L23" s="1085" t="s">
        <v>182</v>
      </c>
      <c r="M23" s="823"/>
    </row>
    <row r="24" spans="1:13" ht="13.5" customHeight="1">
      <c r="A24" s="1014" t="s">
        <v>515</v>
      </c>
      <c r="B24" s="1083"/>
      <c r="C24" s="1084" t="s">
        <v>183</v>
      </c>
      <c r="D24" s="989">
        <f>[2]!F610BudgFYOther</f>
        <v>600000</v>
      </c>
      <c r="E24" s="949">
        <v>2337955</v>
      </c>
      <c r="F24" s="992">
        <f>[2]!F630BudgFYOther</f>
        <v>11107232</v>
      </c>
      <c r="G24" s="949">
        <v>11420000</v>
      </c>
      <c r="H24" s="992">
        <f>[2]!F695BudgFYOther</f>
        <v>0</v>
      </c>
      <c r="I24" s="949">
        <v>0</v>
      </c>
      <c r="J24" s="1231">
        <f>[2]!F620BudgFYOther</f>
        <v>0</v>
      </c>
      <c r="K24" s="452">
        <v>0</v>
      </c>
      <c r="L24" s="1085" t="s">
        <v>183</v>
      </c>
      <c r="M24" s="823"/>
    </row>
    <row r="25" spans="1:13" ht="13.5" customHeight="1">
      <c r="A25" s="1086" t="s">
        <v>589</v>
      </c>
      <c r="B25" s="1087"/>
      <c r="C25" s="1088" t="s">
        <v>184</v>
      </c>
      <c r="D25" s="990">
        <f>SUM(D22:D24)</f>
        <v>624996</v>
      </c>
      <c r="E25" s="992">
        <f>IF(SUM(E22:E24)=E20,SUM(E22:E24),"Check line 12")</f>
        <v>2709238</v>
      </c>
      <c r="F25" s="992">
        <f>SUM(F22:F24)</f>
        <v>31107232</v>
      </c>
      <c r="G25" s="992">
        <f>IF(SUM(G22:G24)=G20,SUM(G22:G24),"Check line 12")</f>
        <v>31320000</v>
      </c>
      <c r="H25" s="993">
        <f>SUM(H23:H24)</f>
        <v>0</v>
      </c>
      <c r="I25" s="992">
        <f>IF(SUM(I23:I24)=I20,SUM(I23:I24),"Check line 12")</f>
        <v>0</v>
      </c>
      <c r="J25" s="1231">
        <f>SUM(J22:J24)</f>
        <v>0</v>
      </c>
      <c r="K25" s="992">
        <f>IF(SUM(K22:K24)=K20,SUM(K22:K24),"Check line 12")</f>
        <v>0</v>
      </c>
      <c r="L25" s="1089" t="s">
        <v>184</v>
      </c>
      <c r="M25" s="823"/>
    </row>
    <row r="26" spans="1:15" ht="15">
      <c r="A26" s="928"/>
      <c r="B26" s="928"/>
      <c r="C26" s="929"/>
      <c r="D26" s="930"/>
      <c r="E26" s="930"/>
      <c r="F26" s="930"/>
      <c r="G26" s="930"/>
      <c r="H26" s="930"/>
      <c r="I26" s="930"/>
      <c r="J26" s="931"/>
      <c r="K26" s="932"/>
      <c r="L26" s="905"/>
      <c r="M26" s="866"/>
      <c r="N26" s="866"/>
      <c r="O26" s="823"/>
    </row>
    <row r="27" spans="1:15" ht="15">
      <c r="A27" s="933" t="s">
        <v>537</v>
      </c>
      <c r="B27" s="928"/>
      <c r="C27" s="929"/>
      <c r="D27" s="930"/>
      <c r="E27" s="930"/>
      <c r="F27" s="930"/>
      <c r="G27" s="930"/>
      <c r="H27" s="930"/>
      <c r="I27" s="930"/>
      <c r="J27" s="931"/>
      <c r="K27" s="932"/>
      <c r="L27" s="905"/>
      <c r="M27" s="728"/>
      <c r="N27" s="728"/>
      <c r="O27" s="823"/>
    </row>
    <row r="28" spans="1:15" ht="15">
      <c r="A28" s="1239" t="s">
        <v>734</v>
      </c>
      <c r="B28" s="331"/>
      <c r="E28" s="1275">
        <v>0</v>
      </c>
      <c r="F28" s="903"/>
      <c r="G28" s="903"/>
      <c r="H28" s="903"/>
      <c r="I28" s="903"/>
      <c r="J28" s="903"/>
      <c r="K28" s="903"/>
      <c r="L28" s="905"/>
      <c r="M28" s="728"/>
      <c r="N28" s="728"/>
      <c r="O28" s="823"/>
    </row>
    <row r="29" spans="1:15" ht="15">
      <c r="A29" s="1258">
        <f>IF((E28&gt;0),"Districts that are levying any amount for adjacent ways must fill in the Truth in Taxation Worksheet and follow the requirements of A.R.S. §15-905.01. The amount reported in footnote 2 above pulls to the Truth in Taxation Worksheet, Line 12.","")</f>
      </c>
      <c r="B29" s="331"/>
      <c r="C29" s="899"/>
      <c r="D29" s="903"/>
      <c r="E29" s="903"/>
      <c r="F29" s="904"/>
      <c r="G29" s="903"/>
      <c r="H29" s="903"/>
      <c r="I29" s="904"/>
      <c r="J29" s="903"/>
      <c r="K29" s="903"/>
      <c r="L29" s="905"/>
      <c r="M29" s="728"/>
      <c r="N29" s="728"/>
      <c r="O29" s="600"/>
    </row>
    <row r="30" spans="1:15" ht="15">
      <c r="A30" s="331"/>
      <c r="B30" s="331"/>
      <c r="C30" s="899"/>
      <c r="D30" s="903"/>
      <c r="E30" s="903"/>
      <c r="F30" s="904"/>
      <c r="G30" s="903"/>
      <c r="H30" s="903"/>
      <c r="I30" s="904"/>
      <c r="J30" s="903"/>
      <c r="K30" s="904"/>
      <c r="L30" s="905"/>
      <c r="M30" s="866"/>
      <c r="N30" s="866"/>
      <c r="O30" s="823"/>
    </row>
    <row r="31" spans="1:15" ht="15">
      <c r="A31" s="331"/>
      <c r="B31" s="331"/>
      <c r="C31" s="906"/>
      <c r="D31" s="1513"/>
      <c r="E31" s="1513"/>
      <c r="F31" s="904"/>
      <c r="G31" s="1513"/>
      <c r="H31" s="1513"/>
      <c r="I31" s="904"/>
      <c r="J31" s="1513"/>
      <c r="K31" s="1513"/>
      <c r="L31" s="1517"/>
      <c r="M31" s="1515"/>
      <c r="N31" s="1515"/>
      <c r="O31" s="600"/>
    </row>
    <row r="32" spans="1:15" ht="15">
      <c r="A32" s="331"/>
      <c r="B32" s="331"/>
      <c r="C32" s="899"/>
      <c r="D32" s="1514"/>
      <c r="E32" s="1514"/>
      <c r="F32" s="904"/>
      <c r="G32" s="1513"/>
      <c r="H32" s="1513"/>
      <c r="I32" s="904"/>
      <c r="J32" s="1514"/>
      <c r="K32" s="1518"/>
      <c r="L32" s="1517"/>
      <c r="M32" s="1516"/>
      <c r="N32" s="1516"/>
      <c r="O32" s="823"/>
    </row>
    <row r="33" spans="1:15" ht="15">
      <c r="A33" s="331"/>
      <c r="B33" s="583"/>
      <c r="C33" s="899"/>
      <c r="D33" s="903"/>
      <c r="E33" s="903"/>
      <c r="F33" s="903"/>
      <c r="G33" s="903"/>
      <c r="H33" s="903"/>
      <c r="I33" s="903"/>
      <c r="J33" s="903"/>
      <c r="K33" s="903"/>
      <c r="L33" s="905"/>
      <c r="M33" s="866"/>
      <c r="N33" s="866"/>
      <c r="O33" s="823"/>
    </row>
    <row r="34" spans="1:15" ht="15">
      <c r="A34" s="331"/>
      <c r="B34" s="331"/>
      <c r="C34" s="899"/>
      <c r="D34" s="903"/>
      <c r="E34" s="903"/>
      <c r="F34" s="903"/>
      <c r="G34" s="903"/>
      <c r="H34" s="903"/>
      <c r="I34" s="903"/>
      <c r="J34" s="903"/>
      <c r="K34" s="903"/>
      <c r="L34" s="905"/>
      <c r="M34" s="866"/>
      <c r="N34" s="866"/>
      <c r="O34" s="823"/>
    </row>
    <row r="35" spans="1:15" ht="15">
      <c r="A35" s="331"/>
      <c r="B35" s="331"/>
      <c r="C35" s="899"/>
      <c r="D35" s="903"/>
      <c r="E35" s="903"/>
      <c r="F35" s="903"/>
      <c r="G35" s="903"/>
      <c r="H35" s="903"/>
      <c r="I35" s="903"/>
      <c r="J35" s="903"/>
      <c r="K35" s="903"/>
      <c r="L35" s="905"/>
      <c r="M35" s="866"/>
      <c r="N35" s="866"/>
      <c r="O35" s="823"/>
    </row>
    <row r="36" spans="1:15" ht="15">
      <c r="A36" s="331"/>
      <c r="B36" s="331"/>
      <c r="C36" s="899"/>
      <c r="D36" s="903"/>
      <c r="E36" s="903"/>
      <c r="F36" s="903"/>
      <c r="G36" s="903"/>
      <c r="H36" s="903"/>
      <c r="I36" s="903"/>
      <c r="J36" s="903"/>
      <c r="K36" s="903"/>
      <c r="L36" s="905"/>
      <c r="M36" s="866"/>
      <c r="N36" s="866"/>
      <c r="O36" s="823"/>
    </row>
    <row r="37" spans="1:15" ht="15">
      <c r="A37" s="331"/>
      <c r="B37" s="331"/>
      <c r="C37" s="899"/>
      <c r="D37" s="903"/>
      <c r="E37" s="903"/>
      <c r="F37" s="903"/>
      <c r="G37" s="903"/>
      <c r="H37" s="903"/>
      <c r="I37" s="903"/>
      <c r="J37" s="903"/>
      <c r="K37" s="903"/>
      <c r="L37" s="905"/>
      <c r="M37" s="866"/>
      <c r="N37" s="866"/>
      <c r="O37" s="823"/>
    </row>
    <row r="38" spans="1:15" ht="15">
      <c r="A38" s="331"/>
      <c r="B38" s="331"/>
      <c r="C38" s="899"/>
      <c r="D38" s="903"/>
      <c r="E38" s="903"/>
      <c r="F38" s="903"/>
      <c r="G38" s="903"/>
      <c r="H38" s="903"/>
      <c r="I38" s="903"/>
      <c r="J38" s="903"/>
      <c r="K38" s="903"/>
      <c r="L38" s="905"/>
      <c r="M38" s="866"/>
      <c r="N38" s="866"/>
      <c r="O38" s="823"/>
    </row>
    <row r="39" spans="1:15" ht="15">
      <c r="A39" s="331"/>
      <c r="B39" s="331"/>
      <c r="C39" s="899"/>
      <c r="D39" s="903"/>
      <c r="E39" s="903"/>
      <c r="F39" s="903"/>
      <c r="G39" s="903"/>
      <c r="H39" s="903"/>
      <c r="I39" s="903"/>
      <c r="J39" s="903"/>
      <c r="K39" s="903"/>
      <c r="L39" s="905"/>
      <c r="M39" s="728"/>
      <c r="N39" s="728"/>
      <c r="O39" s="823"/>
    </row>
    <row r="40" spans="1:15" ht="15">
      <c r="A40" s="167"/>
      <c r="B40" s="105"/>
      <c r="C40" s="115"/>
      <c r="D40" s="900"/>
      <c r="E40" s="167"/>
      <c r="F40" s="167"/>
      <c r="G40" s="167"/>
      <c r="H40" s="167"/>
      <c r="I40" s="167"/>
      <c r="J40" s="167"/>
      <c r="K40" s="167"/>
      <c r="L40" s="167"/>
      <c r="M40" s="167"/>
      <c r="N40" s="167"/>
      <c r="O40" s="167"/>
    </row>
    <row r="41" spans="1:15" ht="15">
      <c r="A41" s="167"/>
      <c r="B41" s="167"/>
      <c r="C41" s="167"/>
      <c r="D41" s="167"/>
      <c r="E41" s="167"/>
      <c r="F41" s="167"/>
      <c r="G41" s="167"/>
      <c r="H41" s="167"/>
      <c r="I41" s="167"/>
      <c r="J41" s="167"/>
      <c r="K41" s="167"/>
      <c r="L41" s="167"/>
      <c r="M41" s="167"/>
      <c r="N41" s="167"/>
      <c r="O41" s="167"/>
    </row>
    <row r="42" spans="1:15" ht="15">
      <c r="A42" s="167"/>
      <c r="B42" s="167"/>
      <c r="C42" s="167"/>
      <c r="D42" s="167"/>
      <c r="E42" s="167"/>
      <c r="F42" s="167"/>
      <c r="G42" s="167"/>
      <c r="H42" s="167"/>
      <c r="I42" s="167"/>
      <c r="J42" s="167"/>
      <c r="K42" s="167"/>
      <c r="L42" s="167"/>
      <c r="M42" s="167"/>
      <c r="N42" s="167"/>
      <c r="O42" s="167"/>
    </row>
    <row r="43" spans="1:15" ht="15">
      <c r="A43" s="167"/>
      <c r="B43" s="167"/>
      <c r="C43" s="167"/>
      <c r="D43" s="167"/>
      <c r="E43" s="167"/>
      <c r="F43" s="167"/>
      <c r="G43" s="167"/>
      <c r="H43" s="167"/>
      <c r="I43" s="167"/>
      <c r="J43" s="167"/>
      <c r="K43" s="167"/>
      <c r="L43" s="167"/>
      <c r="M43" s="167"/>
      <c r="N43" s="167"/>
      <c r="O43" s="167"/>
    </row>
    <row r="44" spans="1:13" ht="15">
      <c r="A44" s="167"/>
      <c r="B44" s="167"/>
      <c r="C44" s="167"/>
      <c r="D44" s="167"/>
      <c r="E44" s="167"/>
      <c r="F44" s="167"/>
      <c r="G44" s="167"/>
      <c r="H44" s="167"/>
      <c r="I44" s="167"/>
      <c r="J44" s="167"/>
      <c r="K44" s="167"/>
      <c r="L44" s="167"/>
      <c r="M44" s="167"/>
    </row>
    <row r="45" spans="1:13" ht="15">
      <c r="A45" s="167"/>
      <c r="B45" s="167"/>
      <c r="C45" s="167"/>
      <c r="D45" s="167"/>
      <c r="E45" s="167"/>
      <c r="F45" s="167"/>
      <c r="G45" s="167"/>
      <c r="H45" s="167"/>
      <c r="I45" s="167"/>
      <c r="J45" s="167"/>
      <c r="K45" s="167"/>
      <c r="L45" s="167"/>
      <c r="M45" s="167"/>
    </row>
    <row r="46" spans="1:13" ht="15">
      <c r="A46" s="167"/>
      <c r="B46" s="167"/>
      <c r="C46" s="167"/>
      <c r="D46" s="167"/>
      <c r="E46" s="167"/>
      <c r="F46" s="167"/>
      <c r="G46" s="167"/>
      <c r="H46" s="167"/>
      <c r="I46" s="167"/>
      <c r="J46" s="167"/>
      <c r="K46" s="167"/>
      <c r="L46" s="167"/>
      <c r="M46" s="167"/>
    </row>
    <row r="47" spans="1:13" ht="15">
      <c r="A47" s="167"/>
      <c r="B47" s="167"/>
      <c r="C47" s="167"/>
      <c r="D47" s="167"/>
      <c r="E47" s="167"/>
      <c r="F47" s="167"/>
      <c r="G47" s="167"/>
      <c r="H47" s="167"/>
      <c r="I47" s="167"/>
      <c r="J47" s="167"/>
      <c r="K47" s="167"/>
      <c r="L47" s="167"/>
      <c r="M47" s="167"/>
    </row>
    <row r="48" spans="1:13" ht="15">
      <c r="A48" s="167"/>
      <c r="B48" s="167"/>
      <c r="C48" s="167"/>
      <c r="D48" s="167"/>
      <c r="E48" s="167"/>
      <c r="F48" s="167"/>
      <c r="G48" s="167"/>
      <c r="H48" s="167"/>
      <c r="I48" s="167"/>
      <c r="J48" s="167"/>
      <c r="K48" s="167"/>
      <c r="L48" s="167"/>
      <c r="M48" s="167"/>
    </row>
    <row r="49" spans="1:13" ht="15">
      <c r="A49" s="167"/>
      <c r="B49" s="167"/>
      <c r="C49" s="167"/>
      <c r="D49" s="167"/>
      <c r="E49" s="167"/>
      <c r="F49" s="167"/>
      <c r="G49" s="167"/>
      <c r="H49" s="167"/>
      <c r="I49" s="167"/>
      <c r="J49" s="167"/>
      <c r="K49" s="167"/>
      <c r="L49" s="167"/>
      <c r="M49" s="167"/>
    </row>
    <row r="50" spans="1:13" ht="15">
      <c r="A50" s="167"/>
      <c r="B50" s="167"/>
      <c r="C50" s="167"/>
      <c r="D50" s="167"/>
      <c r="E50" s="167"/>
      <c r="F50" s="167"/>
      <c r="G50" s="167"/>
      <c r="H50" s="167"/>
      <c r="I50" s="167"/>
      <c r="J50" s="167"/>
      <c r="K50" s="167"/>
      <c r="L50" s="167"/>
      <c r="M50" s="167"/>
    </row>
    <row r="51" spans="1:13" ht="15">
      <c r="A51" s="167"/>
      <c r="B51" s="167"/>
      <c r="C51" s="167"/>
      <c r="D51" s="167"/>
      <c r="E51" s="167"/>
      <c r="F51" s="167"/>
      <c r="G51" s="167"/>
      <c r="H51" s="167"/>
      <c r="I51" s="167"/>
      <c r="J51" s="167"/>
      <c r="K51" s="167"/>
      <c r="L51" s="167"/>
      <c r="M51" s="167"/>
    </row>
    <row r="52" spans="1:13" ht="15">
      <c r="A52" s="167"/>
      <c r="B52" s="167"/>
      <c r="C52" s="167"/>
      <c r="D52" s="167"/>
      <c r="E52" s="167"/>
      <c r="F52" s="167"/>
      <c r="G52" s="167"/>
      <c r="H52" s="167"/>
      <c r="I52" s="167"/>
      <c r="J52" s="167"/>
      <c r="K52" s="167"/>
      <c r="L52" s="167"/>
      <c r="M52" s="167"/>
    </row>
    <row r="53" spans="1:13" ht="15">
      <c r="A53" s="167"/>
      <c r="B53" s="167"/>
      <c r="C53" s="167"/>
      <c r="D53" s="167"/>
      <c r="E53" s="167"/>
      <c r="F53" s="167"/>
      <c r="G53" s="167"/>
      <c r="H53" s="167"/>
      <c r="I53" s="167"/>
      <c r="J53" s="167"/>
      <c r="K53" s="167"/>
      <c r="L53" s="167"/>
      <c r="M53" s="167"/>
    </row>
    <row r="54" spans="1:13" ht="15">
      <c r="A54" s="167"/>
      <c r="B54" s="167"/>
      <c r="C54" s="167"/>
      <c r="D54" s="167"/>
      <c r="E54" s="167"/>
      <c r="F54" s="167"/>
      <c r="G54" s="167"/>
      <c r="H54" s="167"/>
      <c r="I54" s="167"/>
      <c r="J54" s="167"/>
      <c r="K54" s="167"/>
      <c r="L54" s="167"/>
      <c r="M54" s="167"/>
    </row>
    <row r="55" spans="1:13" ht="15">
      <c r="A55" s="167"/>
      <c r="B55" s="167"/>
      <c r="C55" s="167"/>
      <c r="D55" s="167"/>
      <c r="E55" s="167"/>
      <c r="F55" s="167"/>
      <c r="G55" s="167"/>
      <c r="H55" s="167"/>
      <c r="I55" s="167"/>
      <c r="J55" s="167"/>
      <c r="K55" s="167"/>
      <c r="L55" s="167"/>
      <c r="M55" s="167"/>
    </row>
    <row r="56" spans="1:13" ht="15">
      <c r="A56" s="167"/>
      <c r="B56" s="167"/>
      <c r="C56" s="167"/>
      <c r="D56" s="167"/>
      <c r="E56" s="167"/>
      <c r="F56" s="167"/>
      <c r="G56" s="167"/>
      <c r="H56" s="167"/>
      <c r="I56" s="167"/>
      <c r="J56" s="167"/>
      <c r="K56" s="167"/>
      <c r="L56" s="167"/>
      <c r="M56" s="167"/>
    </row>
    <row r="57" spans="1:13" ht="15">
      <c r="A57" s="167"/>
      <c r="B57" s="167"/>
      <c r="C57" s="167"/>
      <c r="D57" s="167"/>
      <c r="E57" s="167"/>
      <c r="F57" s="167"/>
      <c r="G57" s="167"/>
      <c r="H57" s="167"/>
      <c r="I57" s="167"/>
      <c r="J57" s="167"/>
      <c r="K57" s="167"/>
      <c r="L57" s="167"/>
      <c r="M57" s="167"/>
    </row>
    <row r="58" spans="1:13" ht="15">
      <c r="A58" s="167"/>
      <c r="B58" s="167"/>
      <c r="C58" s="167"/>
      <c r="D58" s="167"/>
      <c r="E58" s="167"/>
      <c r="F58" s="167"/>
      <c r="G58" s="167"/>
      <c r="H58" s="167"/>
      <c r="I58" s="167"/>
      <c r="J58" s="167"/>
      <c r="K58" s="167"/>
      <c r="L58" s="167"/>
      <c r="M58" s="167"/>
    </row>
    <row r="59" spans="1:13" ht="15">
      <c r="A59" s="167"/>
      <c r="B59" s="167"/>
      <c r="C59" s="167"/>
      <c r="D59" s="167"/>
      <c r="E59" s="167"/>
      <c r="F59" s="167"/>
      <c r="G59" s="167"/>
      <c r="H59" s="167"/>
      <c r="I59" s="167"/>
      <c r="J59" s="167"/>
      <c r="K59" s="167"/>
      <c r="L59" s="167"/>
      <c r="M59" s="167"/>
    </row>
    <row r="60" spans="1:13" ht="15">
      <c r="A60" s="167"/>
      <c r="B60" s="167"/>
      <c r="C60" s="167"/>
      <c r="D60" s="167"/>
      <c r="E60" s="167"/>
      <c r="F60" s="167"/>
      <c r="G60" s="167"/>
      <c r="H60" s="167"/>
      <c r="I60" s="167"/>
      <c r="J60" s="167"/>
      <c r="K60" s="167"/>
      <c r="L60" s="167"/>
      <c r="M60" s="167"/>
    </row>
    <row r="61" spans="1:13" ht="15">
      <c r="A61" s="167"/>
      <c r="B61" s="167"/>
      <c r="C61" s="167"/>
      <c r="D61" s="167"/>
      <c r="E61" s="167"/>
      <c r="F61" s="167"/>
      <c r="G61" s="167"/>
      <c r="H61" s="167"/>
      <c r="I61" s="167"/>
      <c r="J61" s="167"/>
      <c r="K61" s="167"/>
      <c r="L61" s="167"/>
      <c r="M61" s="167"/>
    </row>
    <row r="62" spans="1:13" ht="15">
      <c r="A62" s="167"/>
      <c r="B62" s="167"/>
      <c r="C62" s="167"/>
      <c r="D62" s="167"/>
      <c r="E62" s="167"/>
      <c r="F62" s="167"/>
      <c r="G62" s="167"/>
      <c r="H62" s="167"/>
      <c r="I62" s="167"/>
      <c r="J62" s="167"/>
      <c r="K62" s="167"/>
      <c r="L62" s="167"/>
      <c r="M62" s="167"/>
    </row>
    <row r="63" spans="1:13" ht="15">
      <c r="A63" s="167"/>
      <c r="B63" s="167"/>
      <c r="C63" s="167"/>
      <c r="D63" s="167"/>
      <c r="E63" s="167"/>
      <c r="F63" s="167"/>
      <c r="G63" s="167"/>
      <c r="H63" s="167"/>
      <c r="I63" s="167"/>
      <c r="J63" s="167"/>
      <c r="K63" s="167"/>
      <c r="L63" s="167"/>
      <c r="M63" s="167"/>
    </row>
    <row r="64" spans="1:13" ht="15">
      <c r="A64" s="167"/>
      <c r="B64" s="167"/>
      <c r="C64" s="167"/>
      <c r="D64" s="167"/>
      <c r="E64" s="167"/>
      <c r="F64" s="167"/>
      <c r="G64" s="167"/>
      <c r="H64" s="167"/>
      <c r="I64" s="167"/>
      <c r="J64" s="167"/>
      <c r="K64" s="167"/>
      <c r="L64" s="167"/>
      <c r="M64" s="167"/>
    </row>
    <row r="65" spans="1:13" ht="15">
      <c r="A65" s="167"/>
      <c r="B65" s="167"/>
      <c r="C65" s="167"/>
      <c r="D65" s="167"/>
      <c r="E65" s="167"/>
      <c r="F65" s="167"/>
      <c r="G65" s="167"/>
      <c r="H65" s="167"/>
      <c r="I65" s="167"/>
      <c r="J65" s="167"/>
      <c r="K65" s="167"/>
      <c r="L65" s="167"/>
      <c r="M65" s="167"/>
    </row>
    <row r="66" spans="1:13" ht="15">
      <c r="A66" s="167"/>
      <c r="B66" s="167"/>
      <c r="C66" s="167"/>
      <c r="D66" s="167"/>
      <c r="E66" s="167"/>
      <c r="F66" s="167"/>
      <c r="G66" s="167"/>
      <c r="H66" s="167"/>
      <c r="I66" s="167"/>
      <c r="J66" s="167"/>
      <c r="K66" s="167"/>
      <c r="L66" s="167"/>
      <c r="M66" s="167"/>
    </row>
    <row r="67" spans="1:13" ht="15">
      <c r="A67" s="167"/>
      <c r="B67" s="167"/>
      <c r="C67" s="167"/>
      <c r="D67" s="167"/>
      <c r="E67" s="167"/>
      <c r="F67" s="167"/>
      <c r="G67" s="167"/>
      <c r="H67" s="167"/>
      <c r="I67" s="167"/>
      <c r="J67" s="167"/>
      <c r="K67" s="167"/>
      <c r="L67" s="167"/>
      <c r="M67" s="167"/>
    </row>
    <row r="68" spans="1:13" ht="15">
      <c r="A68" s="167"/>
      <c r="B68" s="167"/>
      <c r="C68" s="167"/>
      <c r="D68" s="167"/>
      <c r="E68" s="167"/>
      <c r="F68" s="167"/>
      <c r="G68" s="167"/>
      <c r="H68" s="167"/>
      <c r="I68" s="167"/>
      <c r="J68" s="167"/>
      <c r="K68" s="167"/>
      <c r="L68" s="167"/>
      <c r="M68" s="167"/>
    </row>
    <row r="69" spans="1:13" ht="15">
      <c r="A69" s="167"/>
      <c r="B69" s="167"/>
      <c r="C69" s="167"/>
      <c r="D69" s="167"/>
      <c r="E69" s="167"/>
      <c r="F69" s="167"/>
      <c r="G69" s="167"/>
      <c r="H69" s="167"/>
      <c r="I69" s="167"/>
      <c r="J69" s="167"/>
      <c r="K69" s="167"/>
      <c r="L69" s="167"/>
      <c r="M69" s="167"/>
    </row>
    <row r="70" spans="1:13" ht="15">
      <c r="A70" s="167"/>
      <c r="B70" s="167"/>
      <c r="C70" s="167"/>
      <c r="D70" s="167"/>
      <c r="E70" s="167"/>
      <c r="F70" s="167"/>
      <c r="G70" s="167"/>
      <c r="H70" s="167"/>
      <c r="I70" s="167"/>
      <c r="J70" s="167"/>
      <c r="K70" s="167"/>
      <c r="L70" s="167"/>
      <c r="M70" s="167"/>
    </row>
    <row r="71" spans="1:13" ht="15">
      <c r="A71" s="167"/>
      <c r="B71" s="167"/>
      <c r="C71" s="167"/>
      <c r="D71" s="167"/>
      <c r="E71" s="167"/>
      <c r="F71" s="167"/>
      <c r="G71" s="167"/>
      <c r="H71" s="167"/>
      <c r="I71" s="167"/>
      <c r="J71" s="167"/>
      <c r="K71" s="167"/>
      <c r="L71" s="167"/>
      <c r="M71" s="167"/>
    </row>
    <row r="72" spans="1:13" ht="15">
      <c r="A72" s="167"/>
      <c r="B72" s="167"/>
      <c r="C72" s="167"/>
      <c r="D72" s="167"/>
      <c r="E72" s="167"/>
      <c r="F72" s="167"/>
      <c r="G72" s="167"/>
      <c r="H72" s="167"/>
      <c r="I72" s="167"/>
      <c r="J72" s="167"/>
      <c r="K72" s="167"/>
      <c r="L72" s="167"/>
      <c r="M72" s="167"/>
    </row>
    <row r="73" spans="1:13" ht="15">
      <c r="A73" s="167"/>
      <c r="B73" s="167"/>
      <c r="C73" s="167"/>
      <c r="D73" s="167"/>
      <c r="E73" s="167"/>
      <c r="F73" s="167"/>
      <c r="G73" s="167"/>
      <c r="H73" s="167"/>
      <c r="I73" s="167"/>
      <c r="J73" s="167"/>
      <c r="K73" s="167"/>
      <c r="L73" s="167"/>
      <c r="M73" s="167"/>
    </row>
    <row r="74" spans="1:13" ht="15">
      <c r="A74" s="167"/>
      <c r="B74" s="167"/>
      <c r="C74" s="167"/>
      <c r="D74" s="167"/>
      <c r="E74" s="167"/>
      <c r="F74" s="167"/>
      <c r="G74" s="167"/>
      <c r="H74" s="167"/>
      <c r="I74" s="167"/>
      <c r="J74" s="167"/>
      <c r="K74" s="167"/>
      <c r="L74" s="167"/>
      <c r="M74" s="167"/>
    </row>
    <row r="75" spans="1:13" ht="15">
      <c r="A75" s="167"/>
      <c r="B75" s="167"/>
      <c r="C75" s="167"/>
      <c r="D75" s="167"/>
      <c r="E75" s="167"/>
      <c r="F75" s="167"/>
      <c r="G75" s="167"/>
      <c r="H75" s="167"/>
      <c r="I75" s="167"/>
      <c r="J75" s="167"/>
      <c r="K75" s="167"/>
      <c r="L75" s="167"/>
      <c r="M75" s="167"/>
    </row>
    <row r="76" spans="1:13" ht="15">
      <c r="A76" s="167"/>
      <c r="B76" s="167"/>
      <c r="C76" s="167"/>
      <c r="D76" s="167"/>
      <c r="E76" s="167"/>
      <c r="F76" s="167"/>
      <c r="G76" s="167"/>
      <c r="H76" s="167"/>
      <c r="I76" s="167"/>
      <c r="J76" s="167"/>
      <c r="K76" s="167"/>
      <c r="L76" s="167"/>
      <c r="M76" s="167"/>
    </row>
    <row r="77" spans="1:13" ht="15">
      <c r="A77" s="167"/>
      <c r="B77" s="167"/>
      <c r="C77" s="167"/>
      <c r="D77" s="167"/>
      <c r="E77" s="167"/>
      <c r="F77" s="167"/>
      <c r="G77" s="167"/>
      <c r="H77" s="167"/>
      <c r="I77" s="167"/>
      <c r="J77" s="167"/>
      <c r="K77" s="167"/>
      <c r="L77" s="167"/>
      <c r="M77" s="167"/>
    </row>
    <row r="78" spans="1:13" ht="15">
      <c r="A78" s="167"/>
      <c r="B78" s="167"/>
      <c r="C78" s="167"/>
      <c r="D78" s="167"/>
      <c r="E78" s="167"/>
      <c r="F78" s="167"/>
      <c r="G78" s="167"/>
      <c r="H78" s="167"/>
      <c r="I78" s="167"/>
      <c r="J78" s="167"/>
      <c r="K78" s="167"/>
      <c r="L78" s="167"/>
      <c r="M78" s="167"/>
    </row>
    <row r="79" spans="1:13" ht="15">
      <c r="A79" s="167"/>
      <c r="B79" s="167"/>
      <c r="C79" s="167"/>
      <c r="D79" s="167"/>
      <c r="E79" s="167"/>
      <c r="F79" s="167"/>
      <c r="G79" s="167"/>
      <c r="H79" s="167"/>
      <c r="I79" s="167"/>
      <c r="J79" s="167"/>
      <c r="K79" s="167"/>
      <c r="L79" s="167"/>
      <c r="M79" s="167"/>
    </row>
    <row r="80" spans="1:13" ht="15">
      <c r="A80" s="167"/>
      <c r="B80" s="167"/>
      <c r="C80" s="167"/>
      <c r="D80" s="167"/>
      <c r="E80" s="167"/>
      <c r="F80" s="167"/>
      <c r="G80" s="167"/>
      <c r="H80" s="167"/>
      <c r="I80" s="167"/>
      <c r="J80" s="167"/>
      <c r="K80" s="167"/>
      <c r="L80" s="167"/>
      <c r="M80" s="167"/>
    </row>
    <row r="81" spans="1:13" ht="15">
      <c r="A81" s="167"/>
      <c r="B81" s="167"/>
      <c r="C81" s="167"/>
      <c r="D81" s="167"/>
      <c r="E81" s="167"/>
      <c r="F81" s="167"/>
      <c r="G81" s="167"/>
      <c r="H81" s="167"/>
      <c r="I81" s="167"/>
      <c r="J81" s="167"/>
      <c r="K81" s="167"/>
      <c r="L81" s="167"/>
      <c r="M81" s="167"/>
    </row>
    <row r="82" spans="1:13" ht="15">
      <c r="A82" s="167"/>
      <c r="B82" s="167"/>
      <c r="C82" s="167"/>
      <c r="D82" s="167"/>
      <c r="E82" s="167"/>
      <c r="F82" s="167"/>
      <c r="G82" s="167"/>
      <c r="H82" s="167"/>
      <c r="I82" s="167"/>
      <c r="J82" s="167"/>
      <c r="K82" s="167"/>
      <c r="L82" s="167"/>
      <c r="M82" s="167"/>
    </row>
    <row r="83" spans="1:13" ht="15">
      <c r="A83" s="167"/>
      <c r="B83" s="167"/>
      <c r="C83" s="167"/>
      <c r="D83" s="167"/>
      <c r="E83" s="167"/>
      <c r="F83" s="167"/>
      <c r="G83" s="167"/>
      <c r="H83" s="167"/>
      <c r="I83" s="167"/>
      <c r="J83" s="167"/>
      <c r="K83" s="167"/>
      <c r="L83" s="167"/>
      <c r="M83" s="167"/>
    </row>
    <row r="84" spans="1:13" ht="15">
      <c r="A84" s="167"/>
      <c r="B84" s="167"/>
      <c r="C84" s="167"/>
      <c r="D84" s="167"/>
      <c r="E84" s="167"/>
      <c r="F84" s="167"/>
      <c r="G84" s="167"/>
      <c r="H84" s="167"/>
      <c r="I84" s="167"/>
      <c r="J84" s="167"/>
      <c r="K84" s="167"/>
      <c r="L84" s="167"/>
      <c r="M84" s="167"/>
    </row>
    <row r="85" spans="1:13" ht="15">
      <c r="A85" s="167"/>
      <c r="B85" s="167"/>
      <c r="C85" s="167"/>
      <c r="D85" s="167"/>
      <c r="E85" s="167"/>
      <c r="F85" s="167"/>
      <c r="G85" s="167"/>
      <c r="H85" s="167"/>
      <c r="I85" s="167"/>
      <c r="J85" s="167"/>
      <c r="K85" s="167"/>
      <c r="L85" s="167"/>
      <c r="M85" s="167"/>
    </row>
    <row r="86" spans="1:13" ht="15">
      <c r="A86" s="167"/>
      <c r="B86" s="167"/>
      <c r="C86" s="167"/>
      <c r="D86" s="167"/>
      <c r="E86" s="167"/>
      <c r="F86" s="167"/>
      <c r="G86" s="167"/>
      <c r="H86" s="167"/>
      <c r="I86" s="167"/>
      <c r="J86" s="167"/>
      <c r="K86" s="167"/>
      <c r="L86" s="167"/>
      <c r="M86" s="167"/>
    </row>
    <row r="87" spans="1:13" ht="15">
      <c r="A87" s="167"/>
      <c r="B87" s="167"/>
      <c r="C87" s="167"/>
      <c r="D87" s="167"/>
      <c r="E87" s="167"/>
      <c r="F87" s="167"/>
      <c r="G87" s="167"/>
      <c r="H87" s="167"/>
      <c r="I87" s="167"/>
      <c r="J87" s="167"/>
      <c r="K87" s="167"/>
      <c r="L87" s="167"/>
      <c r="M87" s="167"/>
    </row>
    <row r="88" spans="1:13" ht="15">
      <c r="A88" s="167"/>
      <c r="B88" s="167"/>
      <c r="C88" s="167"/>
      <c r="D88" s="167"/>
      <c r="E88" s="167"/>
      <c r="F88" s="167"/>
      <c r="G88" s="167"/>
      <c r="H88" s="167"/>
      <c r="I88" s="167"/>
      <c r="J88" s="167"/>
      <c r="K88" s="167"/>
      <c r="L88" s="167"/>
      <c r="M88" s="167"/>
    </row>
    <row r="89" spans="1:13" ht="15">
      <c r="A89" s="167"/>
      <c r="B89" s="167"/>
      <c r="C89" s="167"/>
      <c r="D89" s="167"/>
      <c r="E89" s="167"/>
      <c r="F89" s="167"/>
      <c r="G89" s="167"/>
      <c r="H89" s="167"/>
      <c r="I89" s="167"/>
      <c r="J89" s="167"/>
      <c r="K89" s="167"/>
      <c r="L89" s="167"/>
      <c r="M89" s="167"/>
    </row>
    <row r="90" spans="1:13" ht="15">
      <c r="A90" s="167"/>
      <c r="B90" s="167"/>
      <c r="C90" s="167"/>
      <c r="D90" s="167"/>
      <c r="E90" s="167"/>
      <c r="F90" s="167"/>
      <c r="G90" s="167"/>
      <c r="H90" s="167"/>
      <c r="I90" s="167"/>
      <c r="J90" s="167"/>
      <c r="K90" s="167"/>
      <c r="L90" s="167"/>
      <c r="M90" s="167"/>
    </row>
    <row r="91" spans="1:13" ht="15">
      <c r="A91" s="167"/>
      <c r="B91" s="167"/>
      <c r="C91" s="167"/>
      <c r="D91" s="167"/>
      <c r="E91" s="167"/>
      <c r="F91" s="167"/>
      <c r="G91" s="167"/>
      <c r="H91" s="167"/>
      <c r="I91" s="167"/>
      <c r="J91" s="167"/>
      <c r="K91" s="167"/>
      <c r="L91" s="167"/>
      <c r="M91" s="167"/>
    </row>
    <row r="92" spans="1:13" ht="15">
      <c r="A92" s="167"/>
      <c r="B92" s="167"/>
      <c r="C92" s="167"/>
      <c r="D92" s="167"/>
      <c r="E92" s="167"/>
      <c r="F92" s="167"/>
      <c r="G92" s="167"/>
      <c r="H92" s="167"/>
      <c r="I92" s="167"/>
      <c r="J92" s="167"/>
      <c r="K92" s="167"/>
      <c r="L92" s="167"/>
      <c r="M92" s="167"/>
    </row>
    <row r="93" spans="1:13" ht="15">
      <c r="A93" s="167"/>
      <c r="B93" s="167"/>
      <c r="C93" s="167"/>
      <c r="D93" s="167"/>
      <c r="E93" s="167"/>
      <c r="F93" s="167"/>
      <c r="G93" s="167"/>
      <c r="H93" s="167"/>
      <c r="I93" s="167"/>
      <c r="J93" s="167"/>
      <c r="K93" s="167"/>
      <c r="L93" s="167"/>
      <c r="M93" s="167"/>
    </row>
    <row r="94" spans="1:13" ht="15">
      <c r="A94" s="167"/>
      <c r="B94" s="167"/>
      <c r="C94" s="167"/>
      <c r="D94" s="167"/>
      <c r="E94" s="167"/>
      <c r="F94" s="167"/>
      <c r="G94" s="167"/>
      <c r="H94" s="167"/>
      <c r="I94" s="167"/>
      <c r="J94" s="167"/>
      <c r="K94" s="167"/>
      <c r="L94" s="167"/>
      <c r="M94" s="167"/>
    </row>
    <row r="95" spans="1:13" ht="15">
      <c r="A95" s="167"/>
      <c r="B95" s="167"/>
      <c r="C95" s="167"/>
      <c r="D95" s="167"/>
      <c r="E95" s="167"/>
      <c r="F95" s="167"/>
      <c r="G95" s="167"/>
      <c r="H95" s="167"/>
      <c r="I95" s="167"/>
      <c r="J95" s="167"/>
      <c r="K95" s="167"/>
      <c r="L95" s="167"/>
      <c r="M95" s="167"/>
    </row>
    <row r="96" spans="1:13" ht="15">
      <c r="A96" s="167"/>
      <c r="B96" s="167"/>
      <c r="C96" s="167"/>
      <c r="D96" s="167"/>
      <c r="E96" s="167"/>
      <c r="F96" s="167"/>
      <c r="G96" s="167"/>
      <c r="H96" s="167"/>
      <c r="I96" s="167"/>
      <c r="J96" s="167"/>
      <c r="K96" s="167"/>
      <c r="L96" s="167"/>
      <c r="M96" s="167"/>
    </row>
    <row r="97" spans="1:13" ht="15">
      <c r="A97" s="167"/>
      <c r="B97" s="167"/>
      <c r="C97" s="167"/>
      <c r="D97" s="167"/>
      <c r="E97" s="167"/>
      <c r="F97" s="167"/>
      <c r="G97" s="167"/>
      <c r="H97" s="167"/>
      <c r="I97" s="167"/>
      <c r="J97" s="167"/>
      <c r="K97" s="167"/>
      <c r="L97" s="167"/>
      <c r="M97" s="167"/>
    </row>
    <row r="98" spans="1:13" ht="15">
      <c r="A98" s="167"/>
      <c r="B98" s="167"/>
      <c r="C98" s="167"/>
      <c r="D98" s="167"/>
      <c r="E98" s="167"/>
      <c r="F98" s="167"/>
      <c r="G98" s="167"/>
      <c r="H98" s="167"/>
      <c r="I98" s="167"/>
      <c r="J98" s="167"/>
      <c r="K98" s="167"/>
      <c r="L98" s="167"/>
      <c r="M98" s="167"/>
    </row>
    <row r="99" spans="1:13" ht="15">
      <c r="A99" s="167"/>
      <c r="B99" s="167"/>
      <c r="C99" s="167"/>
      <c r="D99" s="167"/>
      <c r="E99" s="167"/>
      <c r="F99" s="167"/>
      <c r="G99" s="167"/>
      <c r="H99" s="167"/>
      <c r="I99" s="167"/>
      <c r="J99" s="167"/>
      <c r="K99" s="167"/>
      <c r="L99" s="167"/>
      <c r="M99" s="167"/>
    </row>
    <row r="100" spans="1:13" ht="15">
      <c r="A100" s="167"/>
      <c r="B100" s="167"/>
      <c r="C100" s="167"/>
      <c r="D100" s="167"/>
      <c r="E100" s="167"/>
      <c r="F100" s="167"/>
      <c r="G100" s="167"/>
      <c r="H100" s="167"/>
      <c r="I100" s="167"/>
      <c r="J100" s="167"/>
      <c r="K100" s="167"/>
      <c r="L100" s="167"/>
      <c r="M100" s="167"/>
    </row>
    <row r="101" spans="1:13" ht="15">
      <c r="A101" s="167"/>
      <c r="B101" s="167"/>
      <c r="C101" s="167"/>
      <c r="D101" s="167"/>
      <c r="E101" s="167"/>
      <c r="F101" s="167"/>
      <c r="G101" s="167"/>
      <c r="H101" s="167"/>
      <c r="I101" s="167"/>
      <c r="J101" s="167"/>
      <c r="K101" s="167"/>
      <c r="L101" s="167"/>
      <c r="M101" s="167"/>
    </row>
    <row r="102" spans="1:13" ht="15">
      <c r="A102" s="167"/>
      <c r="B102" s="167"/>
      <c r="C102" s="167"/>
      <c r="D102" s="167"/>
      <c r="E102" s="167"/>
      <c r="F102" s="167"/>
      <c r="G102" s="167"/>
      <c r="H102" s="167"/>
      <c r="I102" s="167"/>
      <c r="J102" s="167"/>
      <c r="K102" s="167"/>
      <c r="L102" s="167"/>
      <c r="M102" s="167"/>
    </row>
    <row r="103" spans="1:13" ht="15">
      <c r="A103" s="167"/>
      <c r="B103" s="167"/>
      <c r="C103" s="167"/>
      <c r="D103" s="167"/>
      <c r="E103" s="167"/>
      <c r="F103" s="167"/>
      <c r="G103" s="167"/>
      <c r="H103" s="167"/>
      <c r="I103" s="167"/>
      <c r="J103" s="167"/>
      <c r="K103" s="167"/>
      <c r="L103" s="167"/>
      <c r="M103" s="167"/>
    </row>
    <row r="104" spans="1:13" ht="15">
      <c r="A104" s="167"/>
      <c r="B104" s="167"/>
      <c r="C104" s="167"/>
      <c r="D104" s="167"/>
      <c r="E104" s="167"/>
      <c r="F104" s="167"/>
      <c r="G104" s="167"/>
      <c r="H104" s="167"/>
      <c r="I104" s="167"/>
      <c r="J104" s="167"/>
      <c r="K104" s="167"/>
      <c r="L104" s="167"/>
      <c r="M104" s="167"/>
    </row>
    <row r="105" spans="1:13" ht="15">
      <c r="A105" s="167"/>
      <c r="B105" s="167"/>
      <c r="C105" s="167"/>
      <c r="D105" s="167"/>
      <c r="E105" s="167"/>
      <c r="F105" s="167"/>
      <c r="G105" s="167"/>
      <c r="H105" s="167"/>
      <c r="I105" s="167"/>
      <c r="J105" s="167"/>
      <c r="K105" s="167"/>
      <c r="L105" s="167"/>
      <c r="M105" s="167"/>
    </row>
    <row r="106" spans="1:13" ht="15">
      <c r="A106" s="167"/>
      <c r="B106" s="167"/>
      <c r="C106" s="167"/>
      <c r="D106" s="167"/>
      <c r="E106" s="167"/>
      <c r="F106" s="167"/>
      <c r="G106" s="167"/>
      <c r="H106" s="167"/>
      <c r="I106" s="167"/>
      <c r="J106" s="167"/>
      <c r="K106" s="167"/>
      <c r="L106" s="167"/>
      <c r="M106" s="167"/>
    </row>
    <row r="107" spans="1:13" ht="15">
      <c r="A107" s="167"/>
      <c r="B107" s="167"/>
      <c r="C107" s="167"/>
      <c r="D107" s="167"/>
      <c r="E107" s="167"/>
      <c r="F107" s="167"/>
      <c r="G107" s="167"/>
      <c r="H107" s="167"/>
      <c r="I107" s="167"/>
      <c r="J107" s="167"/>
      <c r="K107" s="167"/>
      <c r="L107" s="167"/>
      <c r="M107" s="167"/>
    </row>
    <row r="108" spans="1:13" ht="15">
      <c r="A108" s="167"/>
      <c r="B108" s="167"/>
      <c r="C108" s="167"/>
      <c r="D108" s="167"/>
      <c r="E108" s="167"/>
      <c r="F108" s="167"/>
      <c r="G108" s="167"/>
      <c r="H108" s="167"/>
      <c r="I108" s="167"/>
      <c r="J108" s="167"/>
      <c r="K108" s="167"/>
      <c r="L108" s="167"/>
      <c r="M108" s="167"/>
    </row>
    <row r="109" spans="1:13" ht="15">
      <c r="A109" s="167"/>
      <c r="B109" s="167"/>
      <c r="C109" s="167"/>
      <c r="D109" s="167"/>
      <c r="E109" s="167"/>
      <c r="F109" s="167"/>
      <c r="G109" s="167"/>
      <c r="H109" s="167"/>
      <c r="I109" s="167"/>
      <c r="J109" s="167"/>
      <c r="K109" s="167"/>
      <c r="L109" s="167"/>
      <c r="M109" s="167"/>
    </row>
    <row r="110" spans="1:13" ht="15">
      <c r="A110" s="167"/>
      <c r="B110" s="167"/>
      <c r="C110" s="167"/>
      <c r="D110" s="167"/>
      <c r="E110" s="167"/>
      <c r="F110" s="167"/>
      <c r="G110" s="167"/>
      <c r="H110" s="167"/>
      <c r="I110" s="167"/>
      <c r="J110" s="167"/>
      <c r="K110" s="167"/>
      <c r="L110" s="167"/>
      <c r="M110" s="167"/>
    </row>
    <row r="111" spans="1:13" ht="15">
      <c r="A111" s="167"/>
      <c r="B111" s="167"/>
      <c r="C111" s="167"/>
      <c r="D111" s="167"/>
      <c r="E111" s="167"/>
      <c r="F111" s="167"/>
      <c r="G111" s="167"/>
      <c r="H111" s="167"/>
      <c r="I111" s="167"/>
      <c r="J111" s="167"/>
      <c r="K111" s="167"/>
      <c r="L111" s="167"/>
      <c r="M111" s="167"/>
    </row>
    <row r="112" spans="1:13" ht="15">
      <c r="A112" s="167"/>
      <c r="B112" s="167"/>
      <c r="C112" s="167"/>
      <c r="D112" s="167"/>
      <c r="E112" s="167"/>
      <c r="F112" s="167"/>
      <c r="G112" s="167"/>
      <c r="H112" s="167"/>
      <c r="I112" s="167"/>
      <c r="J112" s="167"/>
      <c r="K112" s="167"/>
      <c r="L112" s="167"/>
      <c r="M112" s="167"/>
    </row>
    <row r="113" spans="1:13" ht="15">
      <c r="A113" s="167"/>
      <c r="B113" s="167"/>
      <c r="C113" s="167"/>
      <c r="D113" s="167"/>
      <c r="E113" s="167"/>
      <c r="F113" s="167"/>
      <c r="G113" s="167"/>
      <c r="H113" s="167"/>
      <c r="I113" s="167"/>
      <c r="J113" s="167"/>
      <c r="K113" s="167"/>
      <c r="L113" s="167"/>
      <c r="M113" s="167"/>
    </row>
    <row r="114" spans="1:13" ht="15">
      <c r="A114" s="167"/>
      <c r="B114" s="167"/>
      <c r="C114" s="167"/>
      <c r="D114" s="167"/>
      <c r="E114" s="167"/>
      <c r="F114" s="167"/>
      <c r="G114" s="167"/>
      <c r="H114" s="167"/>
      <c r="I114" s="167"/>
      <c r="J114" s="167"/>
      <c r="K114" s="167"/>
      <c r="L114" s="167"/>
      <c r="M114" s="167"/>
    </row>
    <row r="115" spans="1:13" ht="15">
      <c r="A115" s="167"/>
      <c r="B115" s="167"/>
      <c r="C115" s="167"/>
      <c r="D115" s="167"/>
      <c r="E115" s="167"/>
      <c r="F115" s="167"/>
      <c r="G115" s="167"/>
      <c r="H115" s="167"/>
      <c r="I115" s="167"/>
      <c r="J115" s="167"/>
      <c r="K115" s="167"/>
      <c r="L115" s="167"/>
      <c r="M115" s="167"/>
    </row>
    <row r="116" spans="1:13" ht="15">
      <c r="A116" s="167"/>
      <c r="B116" s="167"/>
      <c r="C116" s="167"/>
      <c r="D116" s="167"/>
      <c r="E116" s="167"/>
      <c r="F116" s="167"/>
      <c r="G116" s="167"/>
      <c r="H116" s="167"/>
      <c r="I116" s="167"/>
      <c r="J116" s="167"/>
      <c r="K116" s="167"/>
      <c r="L116" s="167"/>
      <c r="M116" s="167"/>
    </row>
    <row r="117" spans="1:13" ht="15">
      <c r="A117" s="167"/>
      <c r="B117" s="167"/>
      <c r="C117" s="167"/>
      <c r="D117" s="167"/>
      <c r="E117" s="167"/>
      <c r="F117" s="167"/>
      <c r="G117" s="167"/>
      <c r="H117" s="167"/>
      <c r="I117" s="167"/>
      <c r="J117" s="167"/>
      <c r="K117" s="167"/>
      <c r="L117" s="167"/>
      <c r="M117" s="167"/>
    </row>
    <row r="118" spans="1:13" ht="15">
      <c r="A118" s="167"/>
      <c r="B118" s="167"/>
      <c r="C118" s="167"/>
      <c r="D118" s="167"/>
      <c r="E118" s="167"/>
      <c r="F118" s="167"/>
      <c r="G118" s="167"/>
      <c r="H118" s="167"/>
      <c r="I118" s="167"/>
      <c r="J118" s="167"/>
      <c r="K118" s="167"/>
      <c r="L118" s="167"/>
      <c r="M118" s="167"/>
    </row>
    <row r="119" spans="1:13" ht="15">
      <c r="A119" s="167"/>
      <c r="B119" s="167"/>
      <c r="C119" s="167"/>
      <c r="D119" s="167"/>
      <c r="E119" s="167"/>
      <c r="F119" s="167"/>
      <c r="G119" s="167"/>
      <c r="H119" s="167"/>
      <c r="I119" s="167"/>
      <c r="J119" s="167"/>
      <c r="K119" s="167"/>
      <c r="L119" s="167"/>
      <c r="M119" s="167"/>
    </row>
    <row r="120" spans="1:13" ht="15">
      <c r="A120" s="167"/>
      <c r="B120" s="167"/>
      <c r="C120" s="167"/>
      <c r="D120" s="167"/>
      <c r="E120" s="167"/>
      <c r="F120" s="167"/>
      <c r="G120" s="167"/>
      <c r="H120" s="167"/>
      <c r="I120" s="167"/>
      <c r="J120" s="167"/>
      <c r="K120" s="167"/>
      <c r="L120" s="167"/>
      <c r="M120" s="167"/>
    </row>
    <row r="121" spans="1:13" ht="15">
      <c r="A121" s="167"/>
      <c r="B121" s="167"/>
      <c r="C121" s="167"/>
      <c r="D121" s="167"/>
      <c r="E121" s="167"/>
      <c r="F121" s="167"/>
      <c r="G121" s="167"/>
      <c r="H121" s="167"/>
      <c r="I121" s="167"/>
      <c r="J121" s="167"/>
      <c r="K121" s="167"/>
      <c r="L121" s="167"/>
      <c r="M121" s="167"/>
    </row>
    <row r="122" spans="1:13" ht="15">
      <c r="A122" s="167"/>
      <c r="B122" s="167"/>
      <c r="C122" s="167"/>
      <c r="D122" s="167"/>
      <c r="E122" s="167"/>
      <c r="F122" s="167"/>
      <c r="G122" s="167"/>
      <c r="H122" s="167"/>
      <c r="I122" s="167"/>
      <c r="J122" s="167"/>
      <c r="K122" s="167"/>
      <c r="L122" s="167"/>
      <c r="M122" s="167"/>
    </row>
    <row r="123" spans="1:13" ht="15">
      <c r="A123" s="167"/>
      <c r="B123" s="167"/>
      <c r="C123" s="167"/>
      <c r="D123" s="167"/>
      <c r="E123" s="167"/>
      <c r="F123" s="167"/>
      <c r="G123" s="167"/>
      <c r="H123" s="167"/>
      <c r="I123" s="167"/>
      <c r="J123" s="167"/>
      <c r="K123" s="167"/>
      <c r="L123" s="167"/>
      <c r="M123" s="167"/>
    </row>
    <row r="124" spans="1:13" ht="15">
      <c r="A124" s="167"/>
      <c r="B124" s="167"/>
      <c r="C124" s="167"/>
      <c r="D124" s="167"/>
      <c r="E124" s="167"/>
      <c r="F124" s="167"/>
      <c r="G124" s="167"/>
      <c r="H124" s="167"/>
      <c r="I124" s="167"/>
      <c r="J124" s="167"/>
      <c r="K124" s="167"/>
      <c r="L124" s="167"/>
      <c r="M124" s="167"/>
    </row>
    <row r="125" spans="1:13" ht="15">
      <c r="A125" s="167"/>
      <c r="B125" s="167"/>
      <c r="C125" s="167"/>
      <c r="D125" s="167"/>
      <c r="E125" s="167"/>
      <c r="F125" s="167"/>
      <c r="G125" s="167"/>
      <c r="H125" s="167"/>
      <c r="I125" s="167"/>
      <c r="J125" s="167"/>
      <c r="K125" s="167"/>
      <c r="L125" s="167"/>
      <c r="M125" s="167"/>
    </row>
  </sheetData>
  <sheetProtection sheet="1" formatCells="0" formatColumns="0" formatRows="0"/>
  <mergeCells count="18">
    <mergeCell ref="E31:E32"/>
    <mergeCell ref="G31:G32"/>
    <mergeCell ref="D31:D32"/>
    <mergeCell ref="N31:N32"/>
    <mergeCell ref="L31:L32"/>
    <mergeCell ref="J31:J32"/>
    <mergeCell ref="K31:K32"/>
    <mergeCell ref="M31:M32"/>
    <mergeCell ref="H31:H32"/>
    <mergeCell ref="B1:E1"/>
    <mergeCell ref="D5:E5"/>
    <mergeCell ref="F5:G5"/>
    <mergeCell ref="H5:I5"/>
    <mergeCell ref="H6:I6"/>
    <mergeCell ref="J5:K5"/>
    <mergeCell ref="J6:K6"/>
    <mergeCell ref="D6:E6"/>
    <mergeCell ref="F6:G6"/>
  </mergeCells>
  <hyperlinks>
    <hyperlink ref="A9" location="Page5SelectExp" display="Select Object Codes Detail (1)"/>
    <hyperlink ref="J5:K6" location="AdjacentWays" display="ADJACENT WAYS"/>
  </hyperlinks>
  <printOptions horizontalCentered="1"/>
  <pageMargins left="0.25" right="0.25" top="0.25" bottom="0.25" header="0" footer="0.25"/>
  <pageSetup fitToHeight="1" fitToWidth="1" horizontalDpi="600" verticalDpi="600" orientation="landscape" paperSize="5" r:id="rId2"/>
  <headerFooter alignWithMargins="0">
    <oddFooter>&amp;C&amp;A</oddFooter>
  </headerFooter>
  <ignoredErrors>
    <ignoredError sqref="E25" formula="1"/>
  </ignoredErrors>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W49"/>
  <sheetViews>
    <sheetView showGridLines="0" defaultGridColor="0" zoomScalePageLayoutView="0" colorId="22" workbookViewId="0" topLeftCell="A1">
      <selection activeCell="Q33" sqref="Q33"/>
    </sheetView>
  </sheetViews>
  <sheetFormatPr defaultColWidth="9.77734375" defaultRowHeight="15"/>
  <cols>
    <col min="1" max="1" width="3.21484375" style="0" customWidth="1"/>
    <col min="2" max="2" width="0.9921875" style="0" customWidth="1"/>
    <col min="3" max="3" width="9.77734375" style="0" customWidth="1"/>
    <col min="4" max="4" width="27.99609375" style="0" customWidth="1"/>
    <col min="5" max="5" width="4.77734375" style="0" customWidth="1"/>
    <col min="6" max="6" width="7.77734375" style="0" customWidth="1"/>
    <col min="7" max="7" width="5.77734375" style="0" customWidth="1"/>
    <col min="8" max="8" width="2.77734375" style="0" customWidth="1"/>
    <col min="9" max="9" width="10.77734375" style="0" customWidth="1"/>
    <col min="10" max="10" width="10.99609375" style="0" customWidth="1"/>
    <col min="11" max="11" width="2.77734375" style="0" customWidth="1"/>
    <col min="12" max="12" width="4.77734375" style="0" customWidth="1"/>
    <col min="13" max="13" width="2.77734375" style="0" customWidth="1"/>
    <col min="14" max="14" width="1.77734375" style="0" customWidth="1"/>
    <col min="15" max="16" width="9.77734375" style="0" customWidth="1"/>
    <col min="17" max="17" width="8.4453125" style="0" customWidth="1"/>
    <col min="18" max="18" width="4.77734375" style="0" customWidth="1"/>
    <col min="19" max="20" width="9.77734375" style="0" customWidth="1"/>
    <col min="21" max="21" width="2.99609375" style="0" customWidth="1"/>
  </cols>
  <sheetData>
    <row r="1" spans="1:23" ht="15" customHeight="1">
      <c r="A1" s="86"/>
      <c r="B1" s="86"/>
      <c r="C1" s="457" t="s">
        <v>139</v>
      </c>
      <c r="D1" s="1387" t="str">
        <f>Cover!C1</f>
        <v>Gilbert Public Schools</v>
      </c>
      <c r="E1" s="1559"/>
      <c r="F1" s="1559"/>
      <c r="G1" s="318"/>
      <c r="H1" s="86"/>
      <c r="I1" s="457" t="s">
        <v>140</v>
      </c>
      <c r="J1" s="1387" t="str">
        <f>Cover!H1</f>
        <v>Maricopa</v>
      </c>
      <c r="K1" s="1404"/>
      <c r="L1" s="1404"/>
      <c r="M1" s="86"/>
      <c r="N1" s="86"/>
      <c r="O1" s="457" t="s">
        <v>141</v>
      </c>
      <c r="P1" s="1547" t="str">
        <f>Cover!Q1</f>
        <v>070241000</v>
      </c>
      <c r="Q1" s="1502"/>
      <c r="R1" s="86"/>
      <c r="S1" s="629" t="s">
        <v>172</v>
      </c>
      <c r="T1" s="624" t="str">
        <f>Cover!C8</f>
        <v>Revised #2</v>
      </c>
      <c r="U1" s="2"/>
      <c r="V1" s="167"/>
      <c r="W1" s="167"/>
    </row>
    <row r="2" spans="1:23" ht="8.25" customHeight="1">
      <c r="A2" s="86"/>
      <c r="B2" s="86"/>
      <c r="C2" s="86"/>
      <c r="D2" s="86"/>
      <c r="E2" s="86"/>
      <c r="F2" s="86"/>
      <c r="G2" s="86"/>
      <c r="H2" s="86"/>
      <c r="I2" s="86"/>
      <c r="J2" s="86"/>
      <c r="K2" s="86"/>
      <c r="L2" s="86"/>
      <c r="M2" s="86"/>
      <c r="N2" s="86"/>
      <c r="O2" s="86"/>
      <c r="P2" s="86"/>
      <c r="Q2" s="86"/>
      <c r="R2" s="86"/>
      <c r="S2" s="86"/>
      <c r="T2" s="86"/>
      <c r="U2" s="86"/>
      <c r="V2" s="167"/>
      <c r="W2" s="167"/>
    </row>
    <row r="3" spans="1:23" ht="12" customHeight="1">
      <c r="A3" s="225" t="s">
        <v>222</v>
      </c>
      <c r="B3" s="232"/>
      <c r="C3" s="233"/>
      <c r="D3" s="234"/>
      <c r="E3" s="233"/>
      <c r="F3" s="235" t="s">
        <v>167</v>
      </c>
      <c r="G3" s="1552"/>
      <c r="H3" s="1553"/>
      <c r="I3" s="237"/>
      <c r="J3" s="236"/>
      <c r="K3" s="227"/>
      <c r="L3" s="227"/>
      <c r="M3" s="165" t="s">
        <v>613</v>
      </c>
      <c r="N3" s="165"/>
      <c r="O3" s="165"/>
      <c r="P3" s="165"/>
      <c r="Q3" s="165"/>
      <c r="R3" s="165"/>
      <c r="U3" s="127"/>
      <c r="V3" s="167"/>
      <c r="W3" s="167"/>
    </row>
    <row r="4" spans="1:23" ht="12" customHeight="1">
      <c r="A4" s="225"/>
      <c r="B4" s="232"/>
      <c r="C4" s="233"/>
      <c r="D4" s="234"/>
      <c r="E4" s="233"/>
      <c r="F4" s="772"/>
      <c r="G4" s="773"/>
      <c r="H4" s="774"/>
      <c r="I4" s="775"/>
      <c r="J4" s="776"/>
      <c r="K4" s="227"/>
      <c r="L4" s="227"/>
      <c r="S4" s="85" t="s">
        <v>564</v>
      </c>
      <c r="T4" s="85" t="s">
        <v>383</v>
      </c>
      <c r="V4" s="167"/>
      <c r="W4" s="167"/>
    </row>
    <row r="5" spans="1:23" ht="12" customHeight="1">
      <c r="A5" s="229"/>
      <c r="B5" s="229"/>
      <c r="C5" s="233"/>
      <c r="D5" s="233"/>
      <c r="E5" s="229"/>
      <c r="F5" s="1554" t="s">
        <v>498</v>
      </c>
      <c r="G5" s="1555"/>
      <c r="H5" s="1556"/>
      <c r="I5" s="238" t="s">
        <v>223</v>
      </c>
      <c r="J5" s="239"/>
      <c r="K5" s="227"/>
      <c r="L5" s="227"/>
      <c r="M5" s="230" t="s">
        <v>118</v>
      </c>
      <c r="N5" s="128"/>
      <c r="O5" s="516" t="s">
        <v>171</v>
      </c>
      <c r="P5" s="553"/>
      <c r="Q5" s="165"/>
      <c r="R5" s="517">
        <v>6000</v>
      </c>
      <c r="S5" s="802">
        <f>[2]!F050BudgFY</f>
        <v>0</v>
      </c>
      <c r="T5" s="630">
        <v>0</v>
      </c>
      <c r="U5" s="231" t="s">
        <v>118</v>
      </c>
      <c r="V5" s="167"/>
      <c r="W5" s="167"/>
    </row>
    <row r="6" spans="1:23" ht="12" customHeight="1">
      <c r="A6" s="226" t="s">
        <v>225</v>
      </c>
      <c r="B6" s="227"/>
      <c r="C6" s="228"/>
      <c r="D6" s="228"/>
      <c r="E6" s="228"/>
      <c r="F6" s="883" t="s">
        <v>564</v>
      </c>
      <c r="G6" s="1557" t="s">
        <v>383</v>
      </c>
      <c r="H6" s="1558"/>
      <c r="I6" s="518" t="s">
        <v>564</v>
      </c>
      <c r="J6" s="240" t="s">
        <v>383</v>
      </c>
      <c r="K6" s="227"/>
      <c r="L6" s="227"/>
      <c r="M6" s="854" t="s">
        <v>120</v>
      </c>
      <c r="N6" s="128"/>
      <c r="O6" s="516" t="s">
        <v>204</v>
      </c>
      <c r="P6" s="553"/>
      <c r="Q6" s="553"/>
      <c r="R6" s="517">
        <v>6000</v>
      </c>
      <c r="S6" s="604">
        <f>F071CurrFY</f>
        <v>0</v>
      </c>
      <c r="T6" s="604">
        <f>F071BudgFY</f>
        <v>259742</v>
      </c>
      <c r="U6" s="231" t="s">
        <v>120</v>
      </c>
      <c r="V6" s="167"/>
      <c r="W6" s="167"/>
    </row>
    <row r="7" spans="1:23" ht="12" customHeight="1">
      <c r="A7" s="230" t="s">
        <v>118</v>
      </c>
      <c r="B7" s="227"/>
      <c r="C7" s="229" t="s">
        <v>70</v>
      </c>
      <c r="D7" s="229"/>
      <c r="E7" s="230">
        <v>6000</v>
      </c>
      <c r="F7" s="519">
        <f>[2]!F100130Personnel</f>
        <v>63.37</v>
      </c>
      <c r="G7" s="1521">
        <v>63.37</v>
      </c>
      <c r="H7" s="1522"/>
      <c r="I7" s="521">
        <f>[2]!F100130BudgFY</f>
        <v>4081228</v>
      </c>
      <c r="J7" s="1324">
        <v>3563387</v>
      </c>
      <c r="K7" s="231" t="s">
        <v>118</v>
      </c>
      <c r="L7" s="227"/>
      <c r="M7" s="854" t="s">
        <v>127</v>
      </c>
      <c r="N7" s="128"/>
      <c r="O7" s="516" t="s">
        <v>216</v>
      </c>
      <c r="P7" s="553"/>
      <c r="Q7" s="553"/>
      <c r="R7" s="517">
        <v>6000</v>
      </c>
      <c r="S7" s="604">
        <f>F072CurrFY</f>
        <v>0</v>
      </c>
      <c r="T7" s="604">
        <f>F072BudgFY</f>
        <v>0</v>
      </c>
      <c r="U7" s="231" t="s">
        <v>127</v>
      </c>
      <c r="V7" s="167"/>
      <c r="W7" s="167"/>
    </row>
    <row r="8" spans="1:23" ht="12" customHeight="1">
      <c r="A8" s="230" t="s">
        <v>120</v>
      </c>
      <c r="B8" s="227"/>
      <c r="C8" s="229" t="s">
        <v>100</v>
      </c>
      <c r="D8" s="229"/>
      <c r="E8" s="230">
        <v>6000</v>
      </c>
      <c r="F8" s="519">
        <f>[2]!F140150Personnel</f>
        <v>1.5</v>
      </c>
      <c r="G8" s="1521">
        <v>1.5</v>
      </c>
      <c r="H8" s="1522"/>
      <c r="I8" s="521">
        <f>[2]!F140150BudgFY</f>
        <v>970896</v>
      </c>
      <c r="J8" s="1324">
        <v>505626</v>
      </c>
      <c r="K8" s="231" t="s">
        <v>120</v>
      </c>
      <c r="L8" s="230"/>
      <c r="M8" s="853" t="s">
        <v>131</v>
      </c>
      <c r="N8" s="128"/>
      <c r="O8" s="1268" t="s">
        <v>606</v>
      </c>
      <c r="P8" s="553"/>
      <c r="Q8" s="167"/>
      <c r="R8" s="105">
        <v>6000</v>
      </c>
      <c r="S8" s="604">
        <f>[2]!F500BudgFY</f>
        <v>160261</v>
      </c>
      <c r="T8" s="630">
        <v>200000</v>
      </c>
      <c r="U8" s="1095" t="s">
        <v>131</v>
      </c>
      <c r="V8" s="167"/>
      <c r="W8" s="167"/>
    </row>
    <row r="9" spans="1:23" ht="12" customHeight="1">
      <c r="A9" s="230" t="s">
        <v>127</v>
      </c>
      <c r="B9" s="227"/>
      <c r="C9" s="229" t="s">
        <v>95</v>
      </c>
      <c r="D9" s="229"/>
      <c r="E9" s="230">
        <v>6000</v>
      </c>
      <c r="F9" s="519">
        <f>[2]!F160Personnel</f>
        <v>0</v>
      </c>
      <c r="G9" s="1521">
        <v>0</v>
      </c>
      <c r="H9" s="1522"/>
      <c r="I9" s="521">
        <f>[2]!F160BudgFY</f>
        <v>0</v>
      </c>
      <c r="J9" s="1324">
        <v>0</v>
      </c>
      <c r="K9" s="231" t="s">
        <v>127</v>
      </c>
      <c r="L9" s="230"/>
      <c r="M9" s="1093" t="s">
        <v>132</v>
      </c>
      <c r="N9" s="350"/>
      <c r="O9" s="105" t="s">
        <v>224</v>
      </c>
      <c r="P9" s="105"/>
      <c r="Q9" s="105"/>
      <c r="R9" s="230">
        <v>6000</v>
      </c>
      <c r="S9" s="604">
        <f>[2]!F510BudgFY</f>
        <v>11585160</v>
      </c>
      <c r="T9" s="1096">
        <v>11816000</v>
      </c>
      <c r="U9" s="1095" t="s">
        <v>132</v>
      </c>
      <c r="V9" s="167"/>
      <c r="W9" s="167"/>
    </row>
    <row r="10" spans="1:23" ht="12" customHeight="1">
      <c r="A10" s="230" t="s">
        <v>131</v>
      </c>
      <c r="B10" s="227"/>
      <c r="C10" s="229" t="s">
        <v>101</v>
      </c>
      <c r="D10" s="229"/>
      <c r="E10" s="230">
        <v>6000</v>
      </c>
      <c r="F10" s="519">
        <f>[2]!F170180Personnel</f>
        <v>0</v>
      </c>
      <c r="G10" s="1521">
        <v>0</v>
      </c>
      <c r="H10" s="1522"/>
      <c r="I10" s="521">
        <f>[2]!F170180BudgFY</f>
        <v>0</v>
      </c>
      <c r="J10" s="1324">
        <v>0</v>
      </c>
      <c r="K10" s="231" t="s">
        <v>131</v>
      </c>
      <c r="L10" s="230"/>
      <c r="M10" s="1093" t="s">
        <v>133</v>
      </c>
      <c r="N10" s="128"/>
      <c r="O10" s="105" t="s">
        <v>226</v>
      </c>
      <c r="P10" s="105"/>
      <c r="Q10" s="105"/>
      <c r="R10" s="230">
        <v>6000</v>
      </c>
      <c r="S10" s="604">
        <f>[2]!F515BudgFY</f>
        <v>1050005</v>
      </c>
      <c r="T10" s="1096">
        <v>1200000</v>
      </c>
      <c r="U10" s="1095" t="s">
        <v>133</v>
      </c>
      <c r="V10" s="167"/>
      <c r="W10" s="167"/>
    </row>
    <row r="11" spans="1:23" ht="12" customHeight="1">
      <c r="A11" s="230" t="s">
        <v>132</v>
      </c>
      <c r="B11" s="227"/>
      <c r="C11" s="229" t="s">
        <v>102</v>
      </c>
      <c r="D11" s="229"/>
      <c r="E11" s="230">
        <v>6000</v>
      </c>
      <c r="F11" s="519">
        <f>[2]!F190Personnel</f>
        <v>0.25</v>
      </c>
      <c r="G11" s="1521">
        <v>0.25</v>
      </c>
      <c r="H11" s="1522"/>
      <c r="I11" s="521">
        <f>[2]!F190BudgFY</f>
        <v>192914</v>
      </c>
      <c r="J11" s="1324">
        <v>116418</v>
      </c>
      <c r="K11" s="231" t="s">
        <v>132</v>
      </c>
      <c r="L11" s="230"/>
      <c r="M11" s="1093" t="s">
        <v>134</v>
      </c>
      <c r="N11" s="128"/>
      <c r="O11" s="105" t="s">
        <v>227</v>
      </c>
      <c r="P11" s="105"/>
      <c r="Q11" s="105"/>
      <c r="R11" s="230">
        <v>6000</v>
      </c>
      <c r="S11" s="604">
        <f>[2]!F520BudgFY</f>
        <v>4800000</v>
      </c>
      <c r="T11" s="630">
        <v>4900000</v>
      </c>
      <c r="U11" s="1095" t="s">
        <v>134</v>
      </c>
      <c r="V11" s="167"/>
      <c r="W11" s="167"/>
    </row>
    <row r="12" spans="1:23" ht="12" customHeight="1">
      <c r="A12" s="230" t="s">
        <v>133</v>
      </c>
      <c r="B12" s="227"/>
      <c r="C12" s="229" t="s">
        <v>96</v>
      </c>
      <c r="D12" s="229"/>
      <c r="E12" s="230">
        <v>6000</v>
      </c>
      <c r="F12" s="519">
        <f>[2]!F200Personnel</f>
        <v>0</v>
      </c>
      <c r="G12" s="1521">
        <v>0</v>
      </c>
      <c r="H12" s="1522"/>
      <c r="I12" s="521">
        <f>[2]!F200BudgFY</f>
        <v>0</v>
      </c>
      <c r="J12" s="1324">
        <v>0</v>
      </c>
      <c r="K12" s="231" t="s">
        <v>133</v>
      </c>
      <c r="L12" s="230"/>
      <c r="M12" s="1093" t="s">
        <v>176</v>
      </c>
      <c r="N12" s="128"/>
      <c r="O12" s="105" t="s">
        <v>228</v>
      </c>
      <c r="P12" s="105"/>
      <c r="Q12" s="105"/>
      <c r="R12" s="105">
        <v>6000</v>
      </c>
      <c r="S12" s="604">
        <f>[2]!F525BudgFY</f>
        <v>2500000</v>
      </c>
      <c r="T12" s="1096">
        <v>2600000</v>
      </c>
      <c r="U12" s="1095" t="s">
        <v>176</v>
      </c>
      <c r="V12" s="167"/>
      <c r="W12" s="167"/>
    </row>
    <row r="13" spans="1:23" ht="12" customHeight="1">
      <c r="A13" s="230" t="s">
        <v>134</v>
      </c>
      <c r="B13" s="227"/>
      <c r="C13" s="229" t="s">
        <v>99</v>
      </c>
      <c r="D13" s="229"/>
      <c r="E13" s="230">
        <v>6000</v>
      </c>
      <c r="F13" s="519">
        <f>[2]!F210Personnel</f>
        <v>0</v>
      </c>
      <c r="G13" s="1521">
        <v>0</v>
      </c>
      <c r="H13" s="1522"/>
      <c r="I13" s="521">
        <f>[2]!F210BudgFY</f>
        <v>0</v>
      </c>
      <c r="J13" s="1324">
        <v>0</v>
      </c>
      <c r="K13" s="231" t="s">
        <v>134</v>
      </c>
      <c r="L13" s="230"/>
      <c r="M13" s="1093" t="s">
        <v>177</v>
      </c>
      <c r="N13" s="128"/>
      <c r="O13" s="105" t="s">
        <v>105</v>
      </c>
      <c r="P13" s="105"/>
      <c r="Q13" s="105"/>
      <c r="R13" s="230">
        <v>6000</v>
      </c>
      <c r="S13" s="604">
        <f>[2]!F526BudgFY</f>
        <v>1879602</v>
      </c>
      <c r="T13" s="1096">
        <v>1900000</v>
      </c>
      <c r="U13" s="1095" t="s">
        <v>177</v>
      </c>
      <c r="V13" s="167"/>
      <c r="W13" s="167"/>
    </row>
    <row r="14" spans="1:23" ht="12" customHeight="1">
      <c r="A14" s="230" t="s">
        <v>176</v>
      </c>
      <c r="B14" s="227"/>
      <c r="C14" s="229" t="s">
        <v>203</v>
      </c>
      <c r="D14" s="229"/>
      <c r="E14" s="230">
        <v>6000</v>
      </c>
      <c r="F14" s="519">
        <f>[2]!F220Personnel</f>
        <v>107.5</v>
      </c>
      <c r="G14" s="1521">
        <v>107.5</v>
      </c>
      <c r="H14" s="1522"/>
      <c r="I14" s="521">
        <f>[2]!F220BudgFY</f>
        <v>6168551</v>
      </c>
      <c r="J14" s="1324">
        <v>7081295</v>
      </c>
      <c r="K14" s="231" t="s">
        <v>176</v>
      </c>
      <c r="L14" s="230"/>
      <c r="M14" s="1093" t="s">
        <v>178</v>
      </c>
      <c r="N14" s="128"/>
      <c r="O14" s="105" t="s">
        <v>229</v>
      </c>
      <c r="P14" s="167"/>
      <c r="Q14" s="167"/>
      <c r="R14" s="230">
        <v>6000</v>
      </c>
      <c r="S14" s="604">
        <f>[2]!F530BudgFY</f>
        <v>600000</v>
      </c>
      <c r="T14" s="1096">
        <v>650000</v>
      </c>
      <c r="U14" s="1095" t="s">
        <v>178</v>
      </c>
      <c r="V14" s="167"/>
      <c r="W14" s="167"/>
    </row>
    <row r="15" spans="1:23" ht="12" customHeight="1">
      <c r="A15" s="230" t="s">
        <v>177</v>
      </c>
      <c r="B15" s="227"/>
      <c r="C15" s="229" t="s">
        <v>234</v>
      </c>
      <c r="D15" s="229"/>
      <c r="E15" s="230">
        <v>6000</v>
      </c>
      <c r="F15" s="519">
        <f>[2]!F230Personnel</f>
        <v>0</v>
      </c>
      <c r="G15" s="1521">
        <v>0</v>
      </c>
      <c r="H15" s="1522"/>
      <c r="I15" s="521">
        <f>[2]!F230BudgFY</f>
        <v>0</v>
      </c>
      <c r="J15" s="1324">
        <v>0</v>
      </c>
      <c r="K15" s="231" t="s">
        <v>177</v>
      </c>
      <c r="L15" s="230"/>
      <c r="M15" s="1093" t="s">
        <v>179</v>
      </c>
      <c r="N15" s="128"/>
      <c r="O15" s="105" t="s">
        <v>103</v>
      </c>
      <c r="P15" s="105"/>
      <c r="Q15" s="105"/>
      <c r="R15" s="230">
        <v>6000</v>
      </c>
      <c r="S15" s="604">
        <f>[2]!F535BudgFY</f>
        <v>0</v>
      </c>
      <c r="T15" s="630">
        <v>0</v>
      </c>
      <c r="U15" s="1095" t="s">
        <v>179</v>
      </c>
      <c r="V15" s="167"/>
      <c r="W15" s="167"/>
    </row>
    <row r="16" spans="1:23" ht="12" customHeight="1">
      <c r="A16" s="230" t="s">
        <v>178</v>
      </c>
      <c r="B16" s="227"/>
      <c r="C16" s="229" t="s">
        <v>69</v>
      </c>
      <c r="D16" s="229"/>
      <c r="E16" s="230">
        <v>6000</v>
      </c>
      <c r="F16" s="519">
        <f>[2]!F240Personnel</f>
        <v>0</v>
      </c>
      <c r="G16" s="1521">
        <v>0</v>
      </c>
      <c r="H16" s="1522"/>
      <c r="I16" s="521">
        <f>[2]!F240BudgFY</f>
        <v>0</v>
      </c>
      <c r="J16" s="1324">
        <v>0</v>
      </c>
      <c r="K16" s="231" t="s">
        <v>178</v>
      </c>
      <c r="L16" s="230"/>
      <c r="M16" s="1093" t="s">
        <v>180</v>
      </c>
      <c r="N16" s="128"/>
      <c r="O16" s="127" t="s">
        <v>26</v>
      </c>
      <c r="P16" s="105"/>
      <c r="Q16" s="105"/>
      <c r="R16" s="230">
        <v>6000</v>
      </c>
      <c r="S16" s="604">
        <f>[2]!F540BudgFY</f>
        <v>18000</v>
      </c>
      <c r="T16" s="630">
        <v>3500</v>
      </c>
      <c r="U16" s="1095" t="s">
        <v>180</v>
      </c>
      <c r="V16" s="167"/>
      <c r="W16" s="167"/>
    </row>
    <row r="17" spans="1:23" ht="12" customHeight="1">
      <c r="A17" s="230" t="s">
        <v>179</v>
      </c>
      <c r="B17" s="227"/>
      <c r="C17" s="229" t="s">
        <v>237</v>
      </c>
      <c r="D17" s="229"/>
      <c r="E17" s="230">
        <v>6000</v>
      </c>
      <c r="F17" s="519">
        <f>[2]!F250Personnel</f>
        <v>0</v>
      </c>
      <c r="G17" s="1521">
        <v>0</v>
      </c>
      <c r="H17" s="1522"/>
      <c r="I17" s="521">
        <f>[2]!F250BudgFY</f>
        <v>131852</v>
      </c>
      <c r="J17" s="1336">
        <v>131852</v>
      </c>
      <c r="K17" s="231" t="s">
        <v>179</v>
      </c>
      <c r="L17" s="230"/>
      <c r="M17" s="1093" t="s">
        <v>181</v>
      </c>
      <c r="N17" s="128"/>
      <c r="O17" s="127" t="s">
        <v>230</v>
      </c>
      <c r="P17" s="105"/>
      <c r="Q17" s="105"/>
      <c r="R17" s="230">
        <v>6000</v>
      </c>
      <c r="S17" s="604">
        <f>[2]!F545BudgFY</f>
        <v>0</v>
      </c>
      <c r="T17" s="1096">
        <v>0</v>
      </c>
      <c r="U17" s="1095" t="s">
        <v>181</v>
      </c>
      <c r="V17" s="167"/>
      <c r="W17" s="167"/>
    </row>
    <row r="18" spans="1:23" ht="12" customHeight="1">
      <c r="A18" s="230" t="s">
        <v>180</v>
      </c>
      <c r="B18" s="227"/>
      <c r="C18" s="229" t="s">
        <v>97</v>
      </c>
      <c r="D18" s="229"/>
      <c r="E18" s="230">
        <v>6000</v>
      </c>
      <c r="F18" s="519">
        <f>[2]!F260270Personnel</f>
        <v>0</v>
      </c>
      <c r="G18" s="1521">
        <v>0</v>
      </c>
      <c r="H18" s="1522"/>
      <c r="I18" s="521">
        <f>[2]!F260270BudgFY</f>
        <v>411164</v>
      </c>
      <c r="J18" s="1336">
        <v>403970</v>
      </c>
      <c r="K18" s="231" t="s">
        <v>180</v>
      </c>
      <c r="L18" s="230"/>
      <c r="M18" s="1093" t="s">
        <v>182</v>
      </c>
      <c r="N18" s="128"/>
      <c r="O18" s="105" t="s">
        <v>231</v>
      </c>
      <c r="P18" s="105"/>
      <c r="Q18" s="105"/>
      <c r="R18" s="230">
        <v>6000</v>
      </c>
      <c r="S18" s="604">
        <f>[2]!F550BudgFY</f>
        <v>87057</v>
      </c>
      <c r="T18" s="630">
        <v>115000</v>
      </c>
      <c r="U18" s="1095" t="s">
        <v>182</v>
      </c>
      <c r="V18" s="167"/>
      <c r="W18" s="167"/>
    </row>
    <row r="19" spans="1:23" ht="12" customHeight="1">
      <c r="A19" s="230" t="s">
        <v>181</v>
      </c>
      <c r="B19" s="227"/>
      <c r="C19" s="229" t="s">
        <v>98</v>
      </c>
      <c r="D19" s="229"/>
      <c r="E19" s="230">
        <v>6000</v>
      </c>
      <c r="F19" s="519">
        <f>[2]!F280Personnel</f>
        <v>0</v>
      </c>
      <c r="G19" s="1521">
        <v>0</v>
      </c>
      <c r="H19" s="1522"/>
      <c r="I19" s="521">
        <f>[2]!F280BudgFY</f>
        <v>0</v>
      </c>
      <c r="J19" s="1336">
        <v>0</v>
      </c>
      <c r="K19" s="231" t="s">
        <v>181</v>
      </c>
      <c r="L19" s="230"/>
      <c r="M19" s="1093" t="s">
        <v>183</v>
      </c>
      <c r="N19" s="128"/>
      <c r="O19" s="105" t="s">
        <v>232</v>
      </c>
      <c r="P19" s="105"/>
      <c r="Q19" s="105"/>
      <c r="R19" s="230">
        <v>6000</v>
      </c>
      <c r="S19" s="604">
        <f>[2]!F555BudgFY</f>
        <v>3216</v>
      </c>
      <c r="T19" s="1096">
        <v>5000</v>
      </c>
      <c r="U19" s="1095" t="s">
        <v>183</v>
      </c>
      <c r="V19" s="167"/>
      <c r="W19" s="167"/>
    </row>
    <row r="20" spans="1:23" ht="12" customHeight="1">
      <c r="A20" s="230" t="s">
        <v>182</v>
      </c>
      <c r="B20" s="227"/>
      <c r="C20" s="229" t="s">
        <v>240</v>
      </c>
      <c r="D20" s="229"/>
      <c r="E20" s="230">
        <v>6000</v>
      </c>
      <c r="F20" s="519">
        <f>[2]!F290Personnel</f>
        <v>1</v>
      </c>
      <c r="G20" s="1521">
        <v>65</v>
      </c>
      <c r="H20" s="1522"/>
      <c r="I20" s="521">
        <f>[2]!F290BudgFY</f>
        <v>200</v>
      </c>
      <c r="J20" s="1336">
        <v>4080581</v>
      </c>
      <c r="K20" s="231" t="s">
        <v>182</v>
      </c>
      <c r="L20" s="230"/>
      <c r="M20" s="1093" t="s">
        <v>184</v>
      </c>
      <c r="N20" s="128"/>
      <c r="O20" s="105" t="s">
        <v>233</v>
      </c>
      <c r="P20" s="105"/>
      <c r="Q20" s="105"/>
      <c r="R20" s="230">
        <v>6000</v>
      </c>
      <c r="S20" s="604">
        <f>[2]!F565BudgFY</f>
        <v>10000</v>
      </c>
      <c r="T20" s="1096">
        <v>10000</v>
      </c>
      <c r="U20" s="1095" t="s">
        <v>184</v>
      </c>
      <c r="V20" s="167"/>
      <c r="W20" s="167"/>
    </row>
    <row r="21" spans="1:23" ht="12" customHeight="1">
      <c r="A21" s="833" t="s">
        <v>183</v>
      </c>
      <c r="B21" s="227"/>
      <c r="C21" s="867" t="s">
        <v>466</v>
      </c>
      <c r="D21" s="229"/>
      <c r="E21" s="230">
        <v>6000</v>
      </c>
      <c r="F21" s="519">
        <f>[2]!F374Personnel</f>
        <v>0</v>
      </c>
      <c r="G21" s="1519">
        <v>0</v>
      </c>
      <c r="H21" s="1520"/>
      <c r="I21" s="521">
        <f>[2]!F374BudgFY</f>
        <v>0</v>
      </c>
      <c r="J21" s="1336">
        <v>716640</v>
      </c>
      <c r="K21" s="771" t="s">
        <v>183</v>
      </c>
      <c r="L21" s="230"/>
      <c r="M21" s="1093" t="s">
        <v>185</v>
      </c>
      <c r="N21" s="241"/>
      <c r="O21" s="105" t="s">
        <v>235</v>
      </c>
      <c r="P21" s="105"/>
      <c r="Q21" s="105"/>
      <c r="R21" s="230">
        <v>6000</v>
      </c>
      <c r="S21" s="604">
        <f>[2]!F570BudgFY</f>
        <v>1000000</v>
      </c>
      <c r="T21" s="1096">
        <v>1100000</v>
      </c>
      <c r="U21" s="1095" t="s">
        <v>185</v>
      </c>
      <c r="V21" s="167"/>
      <c r="W21" s="167"/>
    </row>
    <row r="22" spans="1:23" ht="12" customHeight="1">
      <c r="A22" s="853" t="s">
        <v>184</v>
      </c>
      <c r="B22" s="227"/>
      <c r="C22" s="867" t="s">
        <v>467</v>
      </c>
      <c r="D22" s="229"/>
      <c r="E22" s="230">
        <v>6000</v>
      </c>
      <c r="F22" s="519">
        <f>[2]!F378Personnel</f>
        <v>0</v>
      </c>
      <c r="G22" s="1519">
        <v>0</v>
      </c>
      <c r="H22" s="1520"/>
      <c r="I22" s="521">
        <f>[2]!F378BudgFY</f>
        <v>0</v>
      </c>
      <c r="J22" s="1336">
        <v>0</v>
      </c>
      <c r="K22" s="771" t="s">
        <v>184</v>
      </c>
      <c r="L22" s="230"/>
      <c r="M22" s="1093" t="s">
        <v>186</v>
      </c>
      <c r="N22" s="128"/>
      <c r="O22" s="105" t="s">
        <v>236</v>
      </c>
      <c r="P22" s="105"/>
      <c r="Q22" s="105"/>
      <c r="R22" s="230">
        <v>6000</v>
      </c>
      <c r="S22" s="604">
        <f>[2]!F575BudgFY</f>
        <v>13708</v>
      </c>
      <c r="T22" s="1096">
        <v>5000</v>
      </c>
      <c r="U22" s="1095" t="s">
        <v>186</v>
      </c>
      <c r="V22" s="167"/>
      <c r="W22" s="167"/>
    </row>
    <row r="23" spans="1:23" ht="12" customHeight="1">
      <c r="A23" s="770" t="s">
        <v>185</v>
      </c>
      <c r="B23" s="227" t="s">
        <v>167</v>
      </c>
      <c r="C23" s="867" t="s">
        <v>486</v>
      </c>
      <c r="D23" s="867"/>
      <c r="E23" s="230">
        <v>6000</v>
      </c>
      <c r="F23" s="519">
        <f>[2]!F300399OtherPersonnel</f>
        <v>4</v>
      </c>
      <c r="G23" s="1521">
        <v>4</v>
      </c>
      <c r="H23" s="1522"/>
      <c r="I23" s="521">
        <f>[2]!F300399OtherBudgFY</f>
        <v>15000</v>
      </c>
      <c r="J23" s="1336">
        <v>184303</v>
      </c>
      <c r="K23" s="771" t="s">
        <v>185</v>
      </c>
      <c r="L23" s="230"/>
      <c r="M23" s="732" t="s">
        <v>187</v>
      </c>
      <c r="N23" s="128"/>
      <c r="O23" s="105" t="s">
        <v>238</v>
      </c>
      <c r="P23" s="105"/>
      <c r="Q23" s="105"/>
      <c r="R23" s="230">
        <v>6000</v>
      </c>
      <c r="S23" s="604">
        <f>[2]!F580BudgFY</f>
        <v>0</v>
      </c>
      <c r="T23" s="630">
        <v>0</v>
      </c>
      <c r="U23" s="1097" t="s">
        <v>187</v>
      </c>
      <c r="V23" s="167"/>
      <c r="W23" s="167"/>
    </row>
    <row r="24" spans="1:23" ht="12" customHeight="1" thickBot="1">
      <c r="A24" s="770" t="s">
        <v>186</v>
      </c>
      <c r="B24" s="227"/>
      <c r="C24" s="229" t="s">
        <v>390</v>
      </c>
      <c r="D24" s="229"/>
      <c r="E24" s="229"/>
      <c r="F24" s="520">
        <f>SUM(F7:F23)</f>
        <v>177.62</v>
      </c>
      <c r="G24" s="1523">
        <f>SUM(G7:H23)</f>
        <v>241.62</v>
      </c>
      <c r="H24" s="1524"/>
      <c r="I24" s="245">
        <f>SUM(I7:I23)</f>
        <v>11971805</v>
      </c>
      <c r="J24" s="1337">
        <f>SUM(J7:J23)</f>
        <v>16784072</v>
      </c>
      <c r="K24" s="771" t="s">
        <v>186</v>
      </c>
      <c r="L24" s="128"/>
      <c r="M24" s="515" t="s">
        <v>189</v>
      </c>
      <c r="N24" s="128"/>
      <c r="O24" s="105" t="s">
        <v>239</v>
      </c>
      <c r="P24" s="105"/>
      <c r="Q24" s="105"/>
      <c r="R24" s="230">
        <v>6000</v>
      </c>
      <c r="S24" s="604">
        <f>[2]!F585BudgFY</f>
        <v>0</v>
      </c>
      <c r="T24" s="1096">
        <v>0</v>
      </c>
      <c r="U24" s="690" t="s">
        <v>189</v>
      </c>
      <c r="V24" s="167"/>
      <c r="W24" s="167"/>
    </row>
    <row r="25" spans="1:23" ht="12" customHeight="1" thickTop="1">
      <c r="A25" s="228" t="s">
        <v>243</v>
      </c>
      <c r="B25" s="229"/>
      <c r="C25" s="229"/>
      <c r="D25" s="229"/>
      <c r="E25" s="229"/>
      <c r="F25" s="1548">
        <f>[2]!F400Personnel</f>
        <v>0</v>
      </c>
      <c r="G25" s="757"/>
      <c r="H25" s="758"/>
      <c r="I25" s="1550">
        <f>[2]!F400BudgFY</f>
        <v>338130</v>
      </c>
      <c r="J25" s="1338"/>
      <c r="K25" s="127"/>
      <c r="L25" s="128"/>
      <c r="M25" s="515" t="s">
        <v>191</v>
      </c>
      <c r="N25" s="241"/>
      <c r="O25" s="127" t="s">
        <v>241</v>
      </c>
      <c r="P25" s="105"/>
      <c r="Q25" s="105"/>
      <c r="R25" s="230">
        <v>6000</v>
      </c>
      <c r="S25" s="604">
        <f>[2]!F590BudgFY</f>
        <v>0</v>
      </c>
      <c r="T25" s="1096">
        <v>0</v>
      </c>
      <c r="U25" s="690" t="s">
        <v>191</v>
      </c>
      <c r="V25" s="167"/>
      <c r="W25" s="167"/>
    </row>
    <row r="26" spans="1:23" ht="12" customHeight="1">
      <c r="A26" s="128" t="s">
        <v>187</v>
      </c>
      <c r="B26" s="227"/>
      <c r="C26" s="229" t="s">
        <v>244</v>
      </c>
      <c r="D26" s="229"/>
      <c r="E26" s="230">
        <v>6000</v>
      </c>
      <c r="F26" s="1549"/>
      <c r="G26" s="1525">
        <v>0</v>
      </c>
      <c r="H26" s="1526"/>
      <c r="I26" s="1551"/>
      <c r="J26" s="1339">
        <v>328405</v>
      </c>
      <c r="K26" s="769" t="s">
        <v>187</v>
      </c>
      <c r="L26" s="230"/>
      <c r="M26" s="515" t="s">
        <v>192</v>
      </c>
      <c r="N26" s="241"/>
      <c r="O26" s="517" t="s">
        <v>375</v>
      </c>
      <c r="P26" s="558"/>
      <c r="R26" s="105">
        <v>6000</v>
      </c>
      <c r="S26" s="1098">
        <f>[2]!F595BudgFY</f>
        <v>0</v>
      </c>
      <c r="T26" s="630">
        <v>0</v>
      </c>
      <c r="U26" s="690" t="s">
        <v>192</v>
      </c>
      <c r="V26" s="167"/>
      <c r="W26" s="167"/>
    </row>
    <row r="27" spans="1:23" ht="12" customHeight="1">
      <c r="A27" s="128" t="s">
        <v>189</v>
      </c>
      <c r="B27" s="227"/>
      <c r="C27" s="229" t="s">
        <v>246</v>
      </c>
      <c r="D27" s="229"/>
      <c r="E27" s="230">
        <v>6000</v>
      </c>
      <c r="F27" s="522">
        <f>[2]!F410Personnel</f>
        <v>0</v>
      </c>
      <c r="G27" s="1521">
        <v>0</v>
      </c>
      <c r="H27" s="1522"/>
      <c r="I27" s="524">
        <f>[2]!F410BudgFY</f>
        <v>0</v>
      </c>
      <c r="J27" s="1340">
        <v>0</v>
      </c>
      <c r="K27" s="127" t="s">
        <v>189</v>
      </c>
      <c r="L27" s="230"/>
      <c r="M27" s="515" t="s">
        <v>194</v>
      </c>
      <c r="N27" s="241"/>
      <c r="O27" s="517" t="s">
        <v>387</v>
      </c>
      <c r="P27" s="558"/>
      <c r="Q27" s="558"/>
      <c r="R27" s="517">
        <v>6000</v>
      </c>
      <c r="S27" s="1098">
        <f>[2]!F596BudgFY</f>
        <v>4059100</v>
      </c>
      <c r="T27" s="1327">
        <v>4600000</v>
      </c>
      <c r="U27" s="690" t="s">
        <v>194</v>
      </c>
      <c r="V27" s="167"/>
      <c r="W27" s="167"/>
    </row>
    <row r="28" spans="1:23" ht="12" customHeight="1">
      <c r="A28" s="128" t="s">
        <v>191</v>
      </c>
      <c r="B28" s="227"/>
      <c r="C28" s="229" t="s">
        <v>94</v>
      </c>
      <c r="D28" s="229"/>
      <c r="E28" s="230">
        <v>6000</v>
      </c>
      <c r="F28" s="522">
        <f>[2]!F420Personnel</f>
        <v>0</v>
      </c>
      <c r="G28" s="1521">
        <v>0</v>
      </c>
      <c r="H28" s="1522"/>
      <c r="I28" s="524">
        <f>[2]!F420BudgFY</f>
        <v>0</v>
      </c>
      <c r="J28" s="1340">
        <v>0</v>
      </c>
      <c r="K28" s="127" t="s">
        <v>191</v>
      </c>
      <c r="L28" s="230"/>
      <c r="M28" s="586" t="s">
        <v>195</v>
      </c>
      <c r="N28" s="105"/>
      <c r="O28" s="127" t="s">
        <v>67</v>
      </c>
      <c r="P28" s="127"/>
      <c r="Q28" s="127"/>
      <c r="R28" s="230">
        <v>6000</v>
      </c>
      <c r="S28" s="604">
        <f>[2]!F639BudgFY</f>
        <v>0</v>
      </c>
      <c r="T28" s="630">
        <v>0</v>
      </c>
      <c r="U28" s="645" t="s">
        <v>195</v>
      </c>
      <c r="V28" s="167"/>
      <c r="W28" s="167"/>
    </row>
    <row r="29" spans="1:23" ht="12" customHeight="1">
      <c r="A29" s="128" t="s">
        <v>192</v>
      </c>
      <c r="B29" s="227"/>
      <c r="C29" s="231" t="s">
        <v>248</v>
      </c>
      <c r="D29" s="229"/>
      <c r="E29" s="230">
        <v>6000</v>
      </c>
      <c r="F29" s="522">
        <f>[2]!F425Personnel</f>
        <v>0</v>
      </c>
      <c r="G29" s="1521">
        <v>0</v>
      </c>
      <c r="H29" s="1522"/>
      <c r="I29" s="524">
        <f>[2]!F425BudgFY</f>
        <v>11460</v>
      </c>
      <c r="J29" s="1340">
        <v>0</v>
      </c>
      <c r="K29" s="127" t="s">
        <v>192</v>
      </c>
      <c r="L29" s="230"/>
      <c r="M29" s="586" t="s">
        <v>197</v>
      </c>
      <c r="O29" s="127" t="s">
        <v>499</v>
      </c>
      <c r="P29" s="127"/>
      <c r="Q29" s="127"/>
      <c r="R29" s="230">
        <v>6000</v>
      </c>
      <c r="S29" s="604">
        <f>[2]!F650BudgFY</f>
        <v>0</v>
      </c>
      <c r="T29" s="630">
        <v>0</v>
      </c>
      <c r="U29" s="645" t="s">
        <v>197</v>
      </c>
      <c r="V29" s="167"/>
      <c r="W29" s="167"/>
    </row>
    <row r="30" spans="1:23" ht="12" customHeight="1">
      <c r="A30" s="128" t="s">
        <v>194</v>
      </c>
      <c r="B30" s="227"/>
      <c r="C30" s="229" t="s">
        <v>255</v>
      </c>
      <c r="D30" s="229"/>
      <c r="E30" s="230">
        <v>6000</v>
      </c>
      <c r="F30" s="522">
        <f>[2]!F430Personnel</f>
        <v>0</v>
      </c>
      <c r="G30" s="1521">
        <v>0</v>
      </c>
      <c r="H30" s="1522"/>
      <c r="I30" s="524">
        <f>[2]!F430BudgFY</f>
        <v>0</v>
      </c>
      <c r="J30" s="1340">
        <v>0</v>
      </c>
      <c r="K30" s="127" t="s">
        <v>194</v>
      </c>
      <c r="L30" s="230"/>
      <c r="M30" s="586" t="s">
        <v>199</v>
      </c>
      <c r="N30" s="105"/>
      <c r="O30" s="127" t="s">
        <v>245</v>
      </c>
      <c r="P30" s="105"/>
      <c r="Q30" s="105"/>
      <c r="R30" s="105">
        <v>6000</v>
      </c>
      <c r="S30" s="604">
        <f>[2]!F660BudgFY</f>
        <v>0</v>
      </c>
      <c r="T30" s="630">
        <v>0</v>
      </c>
      <c r="U30" s="645" t="s">
        <v>199</v>
      </c>
      <c r="V30" s="167"/>
      <c r="W30" s="167"/>
    </row>
    <row r="31" spans="1:23" ht="12" customHeight="1">
      <c r="A31" s="117" t="s">
        <v>195</v>
      </c>
      <c r="B31" s="227"/>
      <c r="C31" s="229" t="s">
        <v>256</v>
      </c>
      <c r="D31" s="229"/>
      <c r="E31" s="230">
        <v>6000</v>
      </c>
      <c r="F31" s="522">
        <f>[2]!F435Personnel</f>
        <v>0</v>
      </c>
      <c r="G31" s="1521">
        <v>0</v>
      </c>
      <c r="H31" s="1522"/>
      <c r="I31" s="524">
        <f>[2]!F435BudgFY</f>
        <v>0</v>
      </c>
      <c r="J31" s="1340">
        <v>0</v>
      </c>
      <c r="K31" s="592" t="s">
        <v>195</v>
      </c>
      <c r="L31" s="230"/>
      <c r="M31" s="586" t="s">
        <v>201</v>
      </c>
      <c r="N31" s="241"/>
      <c r="O31" s="690" t="s">
        <v>217</v>
      </c>
      <c r="P31" s="517"/>
      <c r="Q31" s="105"/>
      <c r="R31" s="105">
        <v>6000</v>
      </c>
      <c r="S31" s="604">
        <f>[2]!F665BudgFY</f>
        <v>780242</v>
      </c>
      <c r="T31" s="630">
        <v>925000</v>
      </c>
      <c r="U31" s="645" t="s">
        <v>201</v>
      </c>
      <c r="V31" s="167"/>
      <c r="W31" s="167"/>
    </row>
    <row r="32" spans="1:23" ht="12" customHeight="1">
      <c r="A32" s="117" t="s">
        <v>197</v>
      </c>
      <c r="B32" s="227"/>
      <c r="C32" s="229" t="s">
        <v>2</v>
      </c>
      <c r="D32" s="229"/>
      <c r="E32" s="230">
        <v>6000</v>
      </c>
      <c r="F32" s="522">
        <f>[2]!F450Personnel</f>
        <v>0</v>
      </c>
      <c r="G32" s="1521">
        <v>0</v>
      </c>
      <c r="H32" s="1522"/>
      <c r="I32" s="524">
        <f>[2]!F450BudgFY</f>
        <v>0</v>
      </c>
      <c r="J32" s="1340">
        <v>0</v>
      </c>
      <c r="K32" s="592" t="s">
        <v>197</v>
      </c>
      <c r="L32" s="230"/>
      <c r="M32" s="1094" t="s">
        <v>202</v>
      </c>
      <c r="N32" s="105"/>
      <c r="O32" s="667" t="s">
        <v>205</v>
      </c>
      <c r="P32" s="558"/>
      <c r="Q32" s="558"/>
      <c r="R32" s="105">
        <v>6000</v>
      </c>
      <c r="S32" s="604">
        <f>[2]!F686BudgFY</f>
        <v>0</v>
      </c>
      <c r="T32" s="630"/>
      <c r="U32" s="1077" t="s">
        <v>202</v>
      </c>
      <c r="V32" s="167"/>
      <c r="W32" s="167"/>
    </row>
    <row r="33" spans="1:23" ht="12" customHeight="1">
      <c r="A33" s="853" t="s">
        <v>199</v>
      </c>
      <c r="B33" s="227"/>
      <c r="C33" s="1266" t="s">
        <v>717</v>
      </c>
      <c r="D33" s="1267"/>
      <c r="E33" s="230">
        <v>6000</v>
      </c>
      <c r="F33" s="1175"/>
      <c r="G33" s="1519">
        <v>0</v>
      </c>
      <c r="H33" s="1520"/>
      <c r="I33" s="1265"/>
      <c r="J33" s="1340">
        <v>0</v>
      </c>
      <c r="K33" s="599" t="s">
        <v>199</v>
      </c>
      <c r="L33" s="128"/>
      <c r="M33" s="1094" t="s">
        <v>218</v>
      </c>
      <c r="N33" s="105"/>
      <c r="O33" s="667" t="s">
        <v>391</v>
      </c>
      <c r="P33" s="558"/>
      <c r="Q33" s="558"/>
      <c r="R33" s="105">
        <v>6000</v>
      </c>
      <c r="S33" s="604">
        <f>[2]!F691BudgFY</f>
        <v>193396</v>
      </c>
      <c r="T33" s="630"/>
      <c r="U33" s="1077" t="s">
        <v>218</v>
      </c>
      <c r="V33" s="167"/>
      <c r="W33" s="167"/>
    </row>
    <row r="34" spans="1:23" ht="12" customHeight="1">
      <c r="A34" s="853" t="s">
        <v>201</v>
      </c>
      <c r="B34" s="227"/>
      <c r="C34" s="1267" t="s">
        <v>718</v>
      </c>
      <c r="D34" s="1267"/>
      <c r="E34" s="230">
        <v>6000</v>
      </c>
      <c r="F34" s="1175"/>
      <c r="G34" s="1519">
        <v>0</v>
      </c>
      <c r="H34" s="1520"/>
      <c r="I34" s="1265"/>
      <c r="J34" s="1340">
        <v>0</v>
      </c>
      <c r="K34" s="599" t="s">
        <v>201</v>
      </c>
      <c r="L34" s="230"/>
      <c r="M34" s="1094" t="s">
        <v>219</v>
      </c>
      <c r="O34" s="127" t="s">
        <v>247</v>
      </c>
      <c r="P34" s="284"/>
      <c r="Q34" s="284"/>
      <c r="R34" s="105">
        <v>6000</v>
      </c>
      <c r="S34" s="604">
        <v>22052676</v>
      </c>
      <c r="T34" s="630">
        <v>20663044</v>
      </c>
      <c r="U34" s="1077" t="s">
        <v>219</v>
      </c>
      <c r="V34" s="167"/>
      <c r="W34" s="167"/>
    </row>
    <row r="35" spans="1:23" ht="12" customHeight="1">
      <c r="A35" s="119" t="s">
        <v>202</v>
      </c>
      <c r="B35" s="227"/>
      <c r="C35" s="229" t="s">
        <v>260</v>
      </c>
      <c r="D35" s="229"/>
      <c r="E35" s="230">
        <v>6000</v>
      </c>
      <c r="F35" s="522">
        <f>[2]!F460Personnel</f>
        <v>0</v>
      </c>
      <c r="G35" s="1521">
        <v>0</v>
      </c>
      <c r="H35" s="1522"/>
      <c r="I35" s="524">
        <f>[2]!F460BudgFY</f>
        <v>0</v>
      </c>
      <c r="J35" s="1325">
        <v>0</v>
      </c>
      <c r="K35" s="599" t="s">
        <v>202</v>
      </c>
      <c r="L35" s="128"/>
      <c r="M35" s="668" t="s">
        <v>220</v>
      </c>
      <c r="N35" s="241"/>
      <c r="O35" s="127" t="s">
        <v>68</v>
      </c>
      <c r="P35" s="284"/>
      <c r="Q35" s="284"/>
      <c r="R35" s="105">
        <v>6000</v>
      </c>
      <c r="S35" s="604">
        <f>[2]!F720BudgFY</f>
        <v>0</v>
      </c>
      <c r="T35" s="630"/>
      <c r="U35" s="1099" t="s">
        <v>220</v>
      </c>
      <c r="V35" s="167"/>
      <c r="W35" s="167"/>
    </row>
    <row r="36" spans="1:23" ht="12" customHeight="1" thickBot="1">
      <c r="A36" s="119" t="s">
        <v>218</v>
      </c>
      <c r="B36" s="227"/>
      <c r="C36" s="229" t="s">
        <v>261</v>
      </c>
      <c r="D36" s="229"/>
      <c r="E36" s="230">
        <v>6000</v>
      </c>
      <c r="F36" s="523">
        <f>[2]!F465499Personnel</f>
        <v>0</v>
      </c>
      <c r="G36" s="1542">
        <v>0</v>
      </c>
      <c r="H36" s="1543"/>
      <c r="I36" s="525">
        <f>[2]!F465499BudgFY</f>
        <v>6450</v>
      </c>
      <c r="J36" s="1326">
        <v>86960</v>
      </c>
      <c r="K36" s="599" t="s">
        <v>218</v>
      </c>
      <c r="L36" s="230"/>
      <c r="M36" s="853" t="s">
        <v>221</v>
      </c>
      <c r="O36" s="261" t="s">
        <v>254</v>
      </c>
      <c r="R36" s="105">
        <v>6000</v>
      </c>
      <c r="S36" s="604">
        <f>[2]!OtherFundsBudgFY</f>
        <v>2711673</v>
      </c>
      <c r="T36" s="630">
        <v>2700000</v>
      </c>
      <c r="U36" s="667">
        <v>32</v>
      </c>
      <c r="V36" s="167"/>
      <c r="W36" s="167"/>
    </row>
    <row r="37" spans="1:23" ht="12" customHeight="1" thickBot="1">
      <c r="A37" s="119" t="s">
        <v>219</v>
      </c>
      <c r="B37" s="227"/>
      <c r="C37" s="229" t="s">
        <v>745</v>
      </c>
      <c r="D37" s="867"/>
      <c r="E37" s="229"/>
      <c r="F37" s="323">
        <f>SUM(F25:F36)</f>
        <v>0</v>
      </c>
      <c r="G37" s="1544">
        <f>SUM(G26:H36)</f>
        <v>0</v>
      </c>
      <c r="H37" s="1545"/>
      <c r="I37" s="245">
        <f>SUM(I25:I36)</f>
        <v>356040</v>
      </c>
      <c r="J37" s="245">
        <f>SUM(J26:J36)</f>
        <v>415365</v>
      </c>
      <c r="K37" s="599" t="s">
        <v>219</v>
      </c>
      <c r="L37" s="230"/>
      <c r="O37" s="165" t="s">
        <v>258</v>
      </c>
      <c r="P37" s="105"/>
      <c r="Q37" s="105"/>
      <c r="R37" s="105"/>
      <c r="S37" s="105"/>
      <c r="T37" s="105"/>
      <c r="V37" s="167"/>
      <c r="W37" s="167"/>
    </row>
    <row r="38" spans="1:23" ht="12" customHeight="1" thickBot="1" thickTop="1">
      <c r="A38" s="119" t="s">
        <v>220</v>
      </c>
      <c r="B38" s="227"/>
      <c r="C38" s="229" t="s">
        <v>746</v>
      </c>
      <c r="D38" s="867"/>
      <c r="E38" s="229"/>
      <c r="F38" s="323">
        <f>F24+F37</f>
        <v>177.62</v>
      </c>
      <c r="G38" s="1544">
        <f>G24+G37</f>
        <v>241.62</v>
      </c>
      <c r="H38" s="1545"/>
      <c r="I38" s="399">
        <f>I24+I37</f>
        <v>12327845</v>
      </c>
      <c r="J38" s="245">
        <f>J24+J37</f>
        <v>17199437</v>
      </c>
      <c r="K38" s="599" t="s">
        <v>220</v>
      </c>
      <c r="L38" s="230"/>
      <c r="M38" s="128" t="s">
        <v>118</v>
      </c>
      <c r="O38" s="334" t="s">
        <v>259</v>
      </c>
      <c r="P38" s="105"/>
      <c r="Q38" s="105"/>
      <c r="R38" s="105">
        <v>6000</v>
      </c>
      <c r="S38" s="366">
        <f>[2]!F9__SelfInsBudgFY</f>
        <v>0</v>
      </c>
      <c r="T38" s="246">
        <v>0</v>
      </c>
      <c r="U38" s="769" t="s">
        <v>118</v>
      </c>
      <c r="V38" s="167"/>
      <c r="W38" s="167"/>
    </row>
    <row r="39" spans="1:23" ht="12" customHeight="1" thickTop="1">
      <c r="A39" s="128"/>
      <c r="B39" s="227"/>
      <c r="C39" s="229"/>
      <c r="D39" s="229"/>
      <c r="E39" s="229"/>
      <c r="F39" s="230"/>
      <c r="G39" s="467"/>
      <c r="H39" s="467"/>
      <c r="I39" s="468"/>
      <c r="J39" s="468"/>
      <c r="K39" s="117"/>
      <c r="L39" s="230"/>
      <c r="M39" s="854" t="s">
        <v>120</v>
      </c>
      <c r="O39" s="127" t="s">
        <v>444</v>
      </c>
      <c r="P39" s="105"/>
      <c r="Q39" s="105"/>
      <c r="R39" s="230">
        <v>6000</v>
      </c>
      <c r="S39" s="366">
        <f>[2]!F955BudgFY</f>
        <v>2372</v>
      </c>
      <c r="T39" s="247">
        <v>5000</v>
      </c>
      <c r="U39" s="599" t="s">
        <v>120</v>
      </c>
      <c r="V39" s="167"/>
      <c r="W39" s="167"/>
    </row>
    <row r="40" spans="1:23" ht="12" customHeight="1">
      <c r="A40" s="1527" t="s">
        <v>77</v>
      </c>
      <c r="B40" s="1528"/>
      <c r="C40" s="1528"/>
      <c r="D40" s="1528"/>
      <c r="E40" s="1528"/>
      <c r="F40" s="1546" t="s">
        <v>564</v>
      </c>
      <c r="G40" s="1546"/>
      <c r="H40" s="1535" t="s">
        <v>383</v>
      </c>
      <c r="I40" s="1536"/>
      <c r="K40" s="515"/>
      <c r="L40" s="105"/>
      <c r="M40" s="833" t="s">
        <v>127</v>
      </c>
      <c r="O40" s="795" t="s">
        <v>386</v>
      </c>
      <c r="P40" s="105"/>
      <c r="Q40" s="105"/>
      <c r="R40" s="105">
        <v>6000</v>
      </c>
      <c r="S40" s="366">
        <f>[2]!F9__OPEBBudgFY</f>
        <v>0</v>
      </c>
      <c r="T40" s="247"/>
      <c r="U40" s="591" t="s">
        <v>127</v>
      </c>
      <c r="V40" s="167"/>
      <c r="W40" s="167"/>
    </row>
    <row r="41" spans="1:23" ht="12" customHeight="1">
      <c r="A41" s="542" t="s">
        <v>118</v>
      </c>
      <c r="B41" s="331"/>
      <c r="C41" s="1491" t="s">
        <v>4</v>
      </c>
      <c r="D41" s="1539"/>
      <c r="E41" s="542">
        <v>6000</v>
      </c>
      <c r="F41" s="1537">
        <f>[2]!F020TeachCompIncrBudgFY</f>
        <v>0</v>
      </c>
      <c r="G41" s="1538"/>
      <c r="H41" s="1540">
        <v>0</v>
      </c>
      <c r="I41" s="1541"/>
      <c r="J41" s="608" t="s">
        <v>118</v>
      </c>
      <c r="L41" s="105"/>
      <c r="M41" s="242" t="s">
        <v>131</v>
      </c>
      <c r="O41" s="334" t="s">
        <v>820</v>
      </c>
      <c r="P41" s="105"/>
      <c r="Q41" s="105"/>
      <c r="R41" s="105">
        <v>6000</v>
      </c>
      <c r="S41" s="366">
        <f>[2]!F9__OtherBudgFY</f>
        <v>181771</v>
      </c>
      <c r="T41" s="755">
        <v>190000</v>
      </c>
      <c r="U41" s="591" t="s">
        <v>131</v>
      </c>
      <c r="V41" s="167"/>
      <c r="W41" s="167"/>
    </row>
    <row r="42" spans="1:23" ht="12" customHeight="1">
      <c r="A42" s="542" t="s">
        <v>120</v>
      </c>
      <c r="B42" s="331"/>
      <c r="C42" s="331" t="s">
        <v>5</v>
      </c>
      <c r="D42" s="331"/>
      <c r="E42" s="542">
        <v>6000</v>
      </c>
      <c r="F42" s="1537">
        <f>[2]!F020ClassSizeRedBudgFY</f>
        <v>900000</v>
      </c>
      <c r="G42" s="1538"/>
      <c r="H42" s="1533">
        <v>900000</v>
      </c>
      <c r="I42" s="1534"/>
      <c r="J42" s="608" t="s">
        <v>120</v>
      </c>
      <c r="L42" s="350"/>
      <c r="N42" s="241"/>
      <c r="O42" s="517"/>
      <c r="P42" s="517"/>
      <c r="Q42" s="105"/>
      <c r="R42" s="105"/>
      <c r="V42" s="167"/>
      <c r="W42" s="167"/>
    </row>
    <row r="43" spans="1:21" ht="12" customHeight="1">
      <c r="A43" s="542" t="s">
        <v>127</v>
      </c>
      <c r="B43" s="331"/>
      <c r="C43" s="331" t="s">
        <v>78</v>
      </c>
      <c r="D43" s="331"/>
      <c r="E43" s="542">
        <v>6000</v>
      </c>
      <c r="F43" s="1537">
        <f>[2]!F020DropPrevProgBudgFY</f>
        <v>10200</v>
      </c>
      <c r="G43" s="1538"/>
      <c r="H43" s="1533">
        <v>0</v>
      </c>
      <c r="I43" s="1534"/>
      <c r="J43" s="608" t="s">
        <v>127</v>
      </c>
      <c r="L43" s="105"/>
      <c r="N43" s="128"/>
      <c r="O43" s="558"/>
      <c r="P43" s="558"/>
      <c r="Q43" s="558"/>
      <c r="R43" s="558"/>
      <c r="S43" s="784"/>
      <c r="T43" s="516"/>
      <c r="U43" s="646"/>
    </row>
    <row r="44" spans="1:20" ht="12" customHeight="1" thickBot="1">
      <c r="A44" s="542" t="s">
        <v>131</v>
      </c>
      <c r="B44" s="517"/>
      <c r="C44" s="517" t="s">
        <v>79</v>
      </c>
      <c r="D44" s="517"/>
      <c r="E44" s="542">
        <v>6000</v>
      </c>
      <c r="F44" s="1531">
        <f>[2]!F020InstrImprProgBudgFY</f>
        <v>509800</v>
      </c>
      <c r="G44" s="1532"/>
      <c r="H44" s="1529">
        <v>600000</v>
      </c>
      <c r="I44" s="1530"/>
      <c r="J44" s="608" t="s">
        <v>131</v>
      </c>
      <c r="L44" s="350"/>
      <c r="M44" s="586" t="s">
        <v>288</v>
      </c>
      <c r="N44" s="517" t="s">
        <v>731</v>
      </c>
      <c r="T44" s="783"/>
    </row>
    <row r="45" spans="1:20" ht="12.75" customHeight="1" thickBot="1">
      <c r="A45" s="542" t="s">
        <v>132</v>
      </c>
      <c r="B45" s="517"/>
      <c r="C45" s="517" t="s">
        <v>357</v>
      </c>
      <c r="D45" s="517"/>
      <c r="E45" s="542"/>
      <c r="F45" s="1567">
        <f>SUM(F41:F44)</f>
        <v>1420000</v>
      </c>
      <c r="G45" s="1568"/>
      <c r="H45" s="1565">
        <f>SUM(H41:H44)</f>
        <v>1500000</v>
      </c>
      <c r="I45" s="1566"/>
      <c r="J45" s="608" t="s">
        <v>132</v>
      </c>
      <c r="L45" s="350"/>
      <c r="M45" s="668" t="s">
        <v>289</v>
      </c>
      <c r="N45" s="517" t="s">
        <v>43</v>
      </c>
      <c r="S45" s="527"/>
      <c r="T45" s="783"/>
    </row>
    <row r="46" spans="1:14" ht="12.75" customHeight="1" thickTop="1">
      <c r="A46" s="516"/>
      <c r="B46" s="516"/>
      <c r="C46" s="516"/>
      <c r="D46" s="516"/>
      <c r="E46" s="516"/>
      <c r="F46" s="516"/>
      <c r="G46" s="516"/>
      <c r="H46" s="516"/>
      <c r="I46" s="516"/>
      <c r="J46" s="516"/>
      <c r="K46" s="516"/>
      <c r="M46" s="668"/>
      <c r="N46" s="517"/>
    </row>
    <row r="47" spans="1:11" ht="12.75" customHeight="1">
      <c r="A47" s="803"/>
      <c r="B47" s="803"/>
      <c r="C47" s="803"/>
      <c r="D47" s="803"/>
      <c r="E47" s="803"/>
      <c r="F47" s="1562"/>
      <c r="G47" s="1561"/>
      <c r="H47" s="1562"/>
      <c r="I47" s="1561"/>
      <c r="J47" s="558"/>
      <c r="K47" s="350"/>
    </row>
    <row r="48" spans="1:10" ht="12.75" customHeight="1">
      <c r="A48" s="515"/>
      <c r="B48" s="515"/>
      <c r="C48" s="516"/>
      <c r="D48" s="553"/>
      <c r="E48" s="517"/>
      <c r="F48" s="1564"/>
      <c r="G48" s="1561"/>
      <c r="H48" s="1560"/>
      <c r="I48" s="1563"/>
      <c r="J48" s="690"/>
    </row>
    <row r="49" spans="1:10" ht="15">
      <c r="A49" s="804"/>
      <c r="B49" s="515"/>
      <c r="C49" s="805"/>
      <c r="D49" s="553"/>
      <c r="E49" s="517"/>
      <c r="F49" s="1560"/>
      <c r="G49" s="1561"/>
      <c r="H49" s="1560"/>
      <c r="I49" s="1563"/>
      <c r="J49" s="690"/>
    </row>
  </sheetData>
  <sheetProtection sheet="1" formatCells="0" formatColumns="0" formatRows="0"/>
  <mergeCells count="59">
    <mergeCell ref="H45:I45"/>
    <mergeCell ref="F45:G45"/>
    <mergeCell ref="F42:G42"/>
    <mergeCell ref="G13:H13"/>
    <mergeCell ref="G14:H14"/>
    <mergeCell ref="G15:H15"/>
    <mergeCell ref="G27:H27"/>
    <mergeCell ref="G17:H17"/>
    <mergeCell ref="G38:H38"/>
    <mergeCell ref="G32:H32"/>
    <mergeCell ref="G8:H8"/>
    <mergeCell ref="G16:H16"/>
    <mergeCell ref="G9:H9"/>
    <mergeCell ref="F49:G49"/>
    <mergeCell ref="H47:I47"/>
    <mergeCell ref="F47:G47"/>
    <mergeCell ref="H48:I48"/>
    <mergeCell ref="H49:I49"/>
    <mergeCell ref="F48:G48"/>
    <mergeCell ref="G10:H10"/>
    <mergeCell ref="P1:Q1"/>
    <mergeCell ref="F25:F26"/>
    <mergeCell ref="I25:I26"/>
    <mergeCell ref="J1:L1"/>
    <mergeCell ref="G3:H3"/>
    <mergeCell ref="F5:H5"/>
    <mergeCell ref="G6:H6"/>
    <mergeCell ref="D1:F1"/>
    <mergeCell ref="G19:H19"/>
    <mergeCell ref="G20:H20"/>
    <mergeCell ref="G11:H11"/>
    <mergeCell ref="G12:H12"/>
    <mergeCell ref="G18:H18"/>
    <mergeCell ref="G7:H7"/>
    <mergeCell ref="C41:D41"/>
    <mergeCell ref="H41:I41"/>
    <mergeCell ref="F41:G41"/>
    <mergeCell ref="G36:H36"/>
    <mergeCell ref="G37:H37"/>
    <mergeCell ref="F40:G40"/>
    <mergeCell ref="A40:E40"/>
    <mergeCell ref="G34:H34"/>
    <mergeCell ref="G35:H35"/>
    <mergeCell ref="H44:I44"/>
    <mergeCell ref="F44:G44"/>
    <mergeCell ref="H42:I42"/>
    <mergeCell ref="H43:I43"/>
    <mergeCell ref="H40:I40"/>
    <mergeCell ref="F43:G43"/>
    <mergeCell ref="G21:H21"/>
    <mergeCell ref="G22:H22"/>
    <mergeCell ref="G23:H23"/>
    <mergeCell ref="G24:H24"/>
    <mergeCell ref="G33:H33"/>
    <mergeCell ref="G31:H31"/>
    <mergeCell ref="G30:H30"/>
    <mergeCell ref="G28:H28"/>
    <mergeCell ref="G26:H26"/>
    <mergeCell ref="G29:H29"/>
  </mergeCells>
  <hyperlinks>
    <hyperlink ref="A22" location="Page6l16" display="16."/>
    <hyperlink ref="M39" location="Page6l2" display="2."/>
    <hyperlink ref="M6" location="Page6l2and3" display="2."/>
    <hyperlink ref="M7" location="Page6l2and3" display="3."/>
    <hyperlink ref="M8" location="Page6l4" display="4."/>
    <hyperlink ref="M36" location="Page6l33" display="33."/>
    <hyperlink ref="A33" location="Page6F456" display="26."/>
    <hyperlink ref="A34" location="Page6F457" display="27."/>
  </hyperlinks>
  <printOptions horizontalCentered="1"/>
  <pageMargins left="0.25" right="0.25" top="0.25" bottom="0.25" header="0" footer="0.25"/>
  <pageSetup fitToHeight="1" fitToWidth="1" horizontalDpi="600" verticalDpi="600" orientation="landscape" paperSize="5" scale="94"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Z78"/>
  <sheetViews>
    <sheetView showGridLines="0" showOutlineSymbols="0" zoomScale="130" zoomScaleNormal="130" zoomScaleSheetLayoutView="95" zoomScalePageLayoutView="0" workbookViewId="0" topLeftCell="A38">
      <selection activeCell="Q33" sqref="Q33"/>
    </sheetView>
  </sheetViews>
  <sheetFormatPr defaultColWidth="8.21484375" defaultRowHeight="15"/>
  <cols>
    <col min="1" max="1" width="2.77734375" style="154" customWidth="1"/>
    <col min="2" max="2" width="2.6640625" style="154" customWidth="1"/>
    <col min="3" max="3" width="6.21484375" style="154" customWidth="1"/>
    <col min="4" max="4" width="15.6640625" style="154" customWidth="1"/>
    <col min="5" max="5" width="2.77734375" style="154" customWidth="1"/>
    <col min="6" max="6" width="8.77734375" style="154" customWidth="1"/>
    <col min="7" max="7" width="1.99609375" style="154" customWidth="1"/>
    <col min="8" max="8" width="11.4453125" style="154" customWidth="1"/>
    <col min="9" max="9" width="6.99609375" style="154" customWidth="1"/>
    <col min="10" max="10" width="11.4453125" style="154" customWidth="1"/>
    <col min="11" max="11" width="3.6640625" style="154" customWidth="1"/>
    <col min="12" max="12" width="2.4453125" style="154" customWidth="1"/>
    <col min="13" max="13" width="11.4453125" style="154" customWidth="1"/>
    <col min="14" max="14" width="8.21484375" style="154" customWidth="1"/>
    <col min="15" max="15" width="1.77734375" style="154" customWidth="1"/>
    <col min="16" max="16" width="4.77734375" style="154" customWidth="1"/>
    <col min="17" max="17" width="17.99609375" style="154" customWidth="1"/>
    <col min="18" max="18" width="10.6640625" style="154" customWidth="1"/>
    <col min="19" max="19" width="8.21484375" style="154" customWidth="1"/>
    <col min="20" max="20" width="2.21484375" style="154" customWidth="1"/>
    <col min="21" max="21" width="8.21484375" style="154" customWidth="1"/>
    <col min="22" max="22" width="1.5625" style="154" customWidth="1"/>
    <col min="23" max="23" width="1.4375" style="154" customWidth="1"/>
    <col min="24" max="16384" width="8.21484375" style="154" customWidth="1"/>
  </cols>
  <sheetData>
    <row r="1" spans="1:13" s="5" customFormat="1" ht="15">
      <c r="A1" s="129"/>
      <c r="B1" s="9"/>
      <c r="C1" s="249" t="s">
        <v>139</v>
      </c>
      <c r="D1" s="1586" t="str">
        <f>Cover!C1</f>
        <v>Gilbert Public Schools</v>
      </c>
      <c r="E1" s="1404"/>
      <c r="F1" s="131" t="s">
        <v>115</v>
      </c>
      <c r="G1" s="1586" t="str">
        <f>Cover!H1</f>
        <v>Maricopa</v>
      </c>
      <c r="H1" s="1404"/>
      <c r="I1" s="1404"/>
      <c r="K1" s="7"/>
      <c r="L1" s="132" t="s">
        <v>266</v>
      </c>
      <c r="M1" s="130" t="str">
        <f>Cover!Q1</f>
        <v>070241000</v>
      </c>
    </row>
    <row r="2" spans="1:13" s="5" customFormat="1" ht="15" customHeight="1">
      <c r="A2" s="133"/>
      <c r="B2" s="9"/>
      <c r="C2" s="9"/>
      <c r="D2" s="9"/>
      <c r="E2" s="9"/>
      <c r="F2" s="9"/>
      <c r="G2" s="9"/>
      <c r="H2" s="9"/>
      <c r="I2" s="9"/>
      <c r="J2" s="9"/>
      <c r="K2" s="543"/>
      <c r="L2" s="631" t="s">
        <v>172</v>
      </c>
      <c r="M2" s="632" t="str">
        <f>Cover!C8</f>
        <v>Revised #2</v>
      </c>
    </row>
    <row r="3" spans="1:13" s="5" customFormat="1" ht="12" customHeight="1">
      <c r="A3" s="1588" t="s">
        <v>645</v>
      </c>
      <c r="B3" s="1589"/>
      <c r="C3" s="1589"/>
      <c r="D3" s="1589"/>
      <c r="E3" s="1589"/>
      <c r="F3" s="1589"/>
      <c r="G3" s="1589"/>
      <c r="H3" s="1589"/>
      <c r="I3" s="1589"/>
      <c r="J3" s="1589"/>
      <c r="K3" s="1589"/>
      <c r="L3" s="1589"/>
      <c r="M3" s="1589"/>
    </row>
    <row r="4" spans="1:13" s="5" customFormat="1" ht="12" customHeight="1">
      <c r="A4" s="290" t="s">
        <v>378</v>
      </c>
      <c r="B4" s="135"/>
      <c r="C4" s="135"/>
      <c r="D4" s="135"/>
      <c r="E4" s="135"/>
      <c r="F4" s="702"/>
      <c r="G4" s="702"/>
      <c r="H4" s="702"/>
      <c r="I4" s="702"/>
      <c r="J4" s="702"/>
      <c r="K4" s="135"/>
      <c r="L4" s="135"/>
      <c r="M4" s="136"/>
    </row>
    <row r="5" spans="1:13" s="5" customFormat="1" ht="3" customHeight="1">
      <c r="A5" s="290"/>
      <c r="B5" s="135"/>
      <c r="C5" s="135"/>
      <c r="D5" s="135"/>
      <c r="E5" s="135"/>
      <c r="F5" s="135"/>
      <c r="G5" s="135"/>
      <c r="H5" s="135"/>
      <c r="I5" s="135"/>
      <c r="J5" s="135"/>
      <c r="K5" s="135"/>
      <c r="L5" s="135"/>
      <c r="M5" s="136"/>
    </row>
    <row r="6" spans="1:13" s="5" customFormat="1" ht="9.75" customHeight="1">
      <c r="A6" s="6"/>
      <c r="B6" s="137"/>
      <c r="C6" s="137"/>
      <c r="D6" s="137"/>
      <c r="E6" s="137"/>
      <c r="F6" s="137"/>
      <c r="G6" s="137"/>
      <c r="H6" s="137"/>
      <c r="I6" s="137"/>
      <c r="J6" s="138" t="s">
        <v>130</v>
      </c>
      <c r="K6" s="135"/>
      <c r="L6" s="135"/>
      <c r="M6" s="139" t="s">
        <v>135</v>
      </c>
    </row>
    <row r="7" spans="1:13" s="5" customFormat="1" ht="9.75" customHeight="1">
      <c r="A7" s="134" t="s">
        <v>167</v>
      </c>
      <c r="B7" s="135"/>
      <c r="C7" s="135"/>
      <c r="D7" s="135"/>
      <c r="E7" s="135"/>
      <c r="F7" s="135"/>
      <c r="G7" s="135"/>
      <c r="H7" s="135"/>
      <c r="I7" s="135"/>
      <c r="J7" s="138" t="s">
        <v>267</v>
      </c>
      <c r="K7" s="140"/>
      <c r="L7" s="9"/>
      <c r="M7" s="139" t="s">
        <v>360</v>
      </c>
    </row>
    <row r="8" spans="1:13" s="5" customFormat="1" ht="9.75" customHeight="1">
      <c r="A8" s="134"/>
      <c r="B8" s="135"/>
      <c r="C8" s="135"/>
      <c r="D8" s="135"/>
      <c r="E8" s="135"/>
      <c r="F8" s="135"/>
      <c r="G8" s="135"/>
      <c r="H8" s="135"/>
      <c r="I8" s="135"/>
      <c r="J8" s="141" t="s">
        <v>268</v>
      </c>
      <c r="K8" s="140"/>
      <c r="L8" s="9"/>
      <c r="M8" s="142" t="s">
        <v>269</v>
      </c>
    </row>
    <row r="9" spans="1:13" s="5" customFormat="1" ht="10.5" customHeight="1">
      <c r="A9" s="838" t="s">
        <v>724</v>
      </c>
      <c r="B9" s="682" t="s">
        <v>646</v>
      </c>
      <c r="D9" s="135"/>
      <c r="E9" s="135"/>
      <c r="F9" s="135"/>
      <c r="G9" s="135"/>
      <c r="H9" s="137"/>
      <c r="I9" s="135"/>
      <c r="J9" s="131"/>
      <c r="K9" s="140"/>
      <c r="L9" s="9"/>
      <c r="M9" s="7"/>
    </row>
    <row r="10" spans="1:13" s="5" customFormat="1" ht="12.75" customHeight="1">
      <c r="A10" s="7"/>
      <c r="B10" s="144" t="s">
        <v>694</v>
      </c>
      <c r="D10" s="9"/>
      <c r="E10" s="9"/>
      <c r="F10" s="544"/>
      <c r="G10" s="145" t="s">
        <v>128</v>
      </c>
      <c r="H10" s="650">
        <f>IF([4]!ConsolIncrTransCosts&gt;0,[4]!RCLBudgFYplusTransCost,[4]!RCLBudgFY)</f>
        <v>186604949</v>
      </c>
      <c r="I10" s="8" t="s">
        <v>128</v>
      </c>
      <c r="J10" s="1295">
        <f>H10-1100000</f>
        <v>185504949</v>
      </c>
      <c r="K10" s="147"/>
      <c r="L10" s="8" t="s">
        <v>128</v>
      </c>
      <c r="M10" s="367">
        <f>H10-J10</f>
        <v>1100000</v>
      </c>
    </row>
    <row r="11" spans="1:13" s="5" customFormat="1" ht="2.25" customHeight="1">
      <c r="A11" s="146"/>
      <c r="B11" s="1174"/>
      <c r="C11" s="144"/>
      <c r="D11" s="9"/>
      <c r="E11" s="9"/>
      <c r="F11" s="9"/>
      <c r="G11" s="8"/>
      <c r="H11" s="1186"/>
      <c r="I11" s="147"/>
      <c r="J11" s="147"/>
      <c r="K11" s="147"/>
      <c r="L11" s="9"/>
      <c r="M11" s="147"/>
    </row>
    <row r="12" spans="1:13" s="5" customFormat="1" ht="3" customHeight="1">
      <c r="A12" s="150"/>
      <c r="B12" s="1174"/>
      <c r="C12" s="1591"/>
      <c r="D12" s="1591"/>
      <c r="E12" s="1591"/>
      <c r="F12" s="1591"/>
      <c r="G12" s="8"/>
      <c r="H12" s="806"/>
      <c r="I12" s="147"/>
      <c r="J12" s="147"/>
      <c r="K12" s="147"/>
      <c r="L12" s="9"/>
      <c r="M12" s="147"/>
    </row>
    <row r="13" spans="1:8" s="5" customFormat="1" ht="13.5" customHeight="1" hidden="1">
      <c r="A13" s="143"/>
      <c r="B13" s="285"/>
      <c r="C13" s="144"/>
      <c r="D13" s="7"/>
      <c r="E13" s="9"/>
      <c r="F13" s="9"/>
      <c r="G13" s="8"/>
      <c r="H13" s="706"/>
    </row>
    <row r="14" spans="1:13" s="5" customFormat="1" ht="25.5" customHeight="1">
      <c r="A14" s="857" t="s">
        <v>725</v>
      </c>
      <c r="B14" s="683" t="s">
        <v>270</v>
      </c>
      <c r="C14" s="1569" t="s">
        <v>647</v>
      </c>
      <c r="D14" s="1569"/>
      <c r="E14" s="1569"/>
      <c r="F14" s="1569"/>
      <c r="G14" s="145" t="s">
        <v>128</v>
      </c>
      <c r="H14" s="10">
        <f>[4]!DAA912BudgFY+[4]!PSDDAAK8BudgFY</f>
        <v>16545389</v>
      </c>
      <c r="I14" s="8"/>
      <c r="J14" s="806"/>
      <c r="K14" s="147"/>
      <c r="L14" s="9"/>
      <c r="M14" s="806"/>
    </row>
    <row r="15" spans="1:17" s="5" customFormat="1" ht="27" customHeight="1">
      <c r="A15" s="150"/>
      <c r="B15" s="839" t="s">
        <v>271</v>
      </c>
      <c r="C15" s="1569" t="s">
        <v>544</v>
      </c>
      <c r="D15" s="1569"/>
      <c r="E15" s="1569"/>
      <c r="F15" s="1569"/>
      <c r="H15" s="10">
        <f>[4]!DAA912Reduction+[4]!PSDDAAK8BudgFYRed</f>
        <v>14490992</v>
      </c>
      <c r="I15" s="8"/>
      <c r="J15" s="806"/>
      <c r="K15" s="147"/>
      <c r="L15" s="9"/>
      <c r="M15" s="806"/>
      <c r="Q15" s="1343"/>
    </row>
    <row r="16" spans="1:13" s="5" customFormat="1" ht="3" customHeight="1">
      <c r="A16" s="150"/>
      <c r="B16" s="858"/>
      <c r="C16" s="1569"/>
      <c r="D16" s="1569"/>
      <c r="E16" s="1569"/>
      <c r="F16" s="1569"/>
      <c r="G16" s="8"/>
      <c r="H16" s="864"/>
      <c r="I16" s="8"/>
      <c r="J16" s="806"/>
      <c r="K16" s="147"/>
      <c r="L16" s="9"/>
      <c r="M16" s="806"/>
    </row>
    <row r="17" spans="1:13" s="5" customFormat="1" ht="12.75" customHeight="1">
      <c r="A17" s="146"/>
      <c r="B17" s="682" t="s">
        <v>272</v>
      </c>
      <c r="C17" s="543" t="s">
        <v>758</v>
      </c>
      <c r="D17" s="544"/>
      <c r="E17" s="9"/>
      <c r="F17" s="9"/>
      <c r="G17" s="8" t="s">
        <v>128</v>
      </c>
      <c r="H17" s="893">
        <f>H14-H15</f>
        <v>2054397</v>
      </c>
      <c r="I17" s="8"/>
      <c r="J17" s="1296">
        <v>0</v>
      </c>
      <c r="K17" s="147"/>
      <c r="L17" s="9"/>
      <c r="M17" s="807">
        <f>H17-J17</f>
        <v>2054397</v>
      </c>
    </row>
    <row r="18" spans="1:13" s="5" customFormat="1" ht="24" customHeight="1">
      <c r="A18" s="1270" t="s">
        <v>726</v>
      </c>
      <c r="B18" s="1572" t="s">
        <v>759</v>
      </c>
      <c r="C18" s="1572"/>
      <c r="D18" s="1572"/>
      <c r="E18" s="1572"/>
      <c r="F18" s="1572"/>
      <c r="G18" s="1572"/>
      <c r="H18" s="1572"/>
      <c r="I18" s="1572"/>
      <c r="J18" s="713"/>
      <c r="K18" s="147"/>
      <c r="L18" s="9"/>
      <c r="M18" s="147"/>
    </row>
    <row r="19" spans="1:13" s="5" customFormat="1" ht="12">
      <c r="A19" s="8"/>
      <c r="B19" s="841" t="s">
        <v>270</v>
      </c>
      <c r="C19" s="544" t="s">
        <v>414</v>
      </c>
      <c r="D19" s="544"/>
      <c r="E19" s="9"/>
      <c r="F19" s="9"/>
      <c r="G19" s="9"/>
      <c r="H19" s="9"/>
      <c r="I19" s="8" t="s">
        <v>167</v>
      </c>
      <c r="J19" s="1297">
        <f>SUM(H10*10%)</f>
        <v>18660495</v>
      </c>
      <c r="K19" s="147"/>
      <c r="L19" s="9"/>
      <c r="M19" s="759"/>
    </row>
    <row r="20" spans="1:13" s="5" customFormat="1" ht="12" customHeight="1">
      <c r="A20" s="150"/>
      <c r="B20" s="841" t="s">
        <v>271</v>
      </c>
      <c r="C20" s="544" t="s">
        <v>362</v>
      </c>
      <c r="D20" s="544"/>
      <c r="E20" s="9"/>
      <c r="F20" s="9"/>
      <c r="G20" s="9"/>
      <c r="H20" s="9"/>
      <c r="I20" s="8"/>
      <c r="J20" s="760"/>
      <c r="K20" s="147"/>
      <c r="L20" s="9"/>
      <c r="M20" s="735"/>
    </row>
    <row r="21" spans="1:13" s="5" customFormat="1" ht="12" customHeight="1">
      <c r="A21" s="8"/>
      <c r="B21" s="842" t="s">
        <v>272</v>
      </c>
      <c r="C21" s="544" t="s">
        <v>415</v>
      </c>
      <c r="D21" s="544"/>
      <c r="E21" s="9"/>
      <c r="F21" s="9"/>
      <c r="G21" s="9"/>
      <c r="H21" s="9"/>
      <c r="I21" s="8" t="s">
        <v>167</v>
      </c>
      <c r="J21" s="735"/>
      <c r="K21" s="147"/>
      <c r="L21" s="144"/>
      <c r="M21" s="152"/>
    </row>
    <row r="22" spans="1:13" s="5" customFormat="1" ht="12" customHeight="1">
      <c r="A22" s="840" t="s">
        <v>358</v>
      </c>
      <c r="B22" s="1572" t="s">
        <v>766</v>
      </c>
      <c r="C22" s="1590"/>
      <c r="D22" s="1590"/>
      <c r="E22" s="1590"/>
      <c r="F22" s="1590"/>
      <c r="G22" s="1590"/>
      <c r="H22" s="1590"/>
      <c r="I22" s="1587"/>
      <c r="J22" s="713"/>
      <c r="K22" s="147"/>
      <c r="L22" s="9"/>
      <c r="M22" s="760"/>
    </row>
    <row r="23" spans="1:13" s="5" customFormat="1" ht="23.25" customHeight="1">
      <c r="A23" s="143"/>
      <c r="B23" s="1590"/>
      <c r="C23" s="1590"/>
      <c r="D23" s="1590"/>
      <c r="E23" s="1590"/>
      <c r="F23" s="1590"/>
      <c r="G23" s="1590"/>
      <c r="H23" s="1590"/>
      <c r="I23" s="1587"/>
      <c r="J23" s="761"/>
      <c r="K23" s="147"/>
      <c r="L23" s="9"/>
      <c r="M23" s="762"/>
    </row>
    <row r="24" spans="1:13" s="5" customFormat="1" ht="12" customHeight="1">
      <c r="A24" s="840" t="s">
        <v>274</v>
      </c>
      <c r="B24" s="144" t="s">
        <v>275</v>
      </c>
      <c r="C24" s="9"/>
      <c r="D24" s="9"/>
      <c r="E24" s="9"/>
      <c r="F24" s="9"/>
      <c r="G24" s="9"/>
      <c r="H24" s="9"/>
      <c r="I24" s="9"/>
      <c r="J24" s="9"/>
      <c r="K24" s="147"/>
      <c r="L24" s="9"/>
      <c r="M24" s="147"/>
    </row>
    <row r="25" spans="1:13" s="5" customFormat="1" ht="9.75" customHeight="1">
      <c r="A25" s="148"/>
      <c r="B25" s="9" t="s">
        <v>276</v>
      </c>
      <c r="C25" s="9"/>
      <c r="D25" s="9"/>
      <c r="E25" s="9"/>
      <c r="F25" s="9"/>
      <c r="G25" s="9"/>
      <c r="H25" s="9"/>
      <c r="I25" s="9"/>
      <c r="J25" s="137"/>
      <c r="K25" s="147"/>
      <c r="L25" s="9"/>
      <c r="M25" s="759"/>
    </row>
    <row r="26" spans="1:13" s="5" customFormat="1" ht="12">
      <c r="A26" s="148"/>
      <c r="B26" s="9" t="s">
        <v>270</v>
      </c>
      <c r="C26" s="544" t="s">
        <v>428</v>
      </c>
      <c r="D26" s="544"/>
      <c r="E26" s="9"/>
      <c r="F26" s="9"/>
      <c r="G26" s="9"/>
      <c r="H26" s="9"/>
      <c r="I26" s="8" t="s">
        <v>167</v>
      </c>
      <c r="J26" s="1297">
        <v>107000</v>
      </c>
      <c r="K26" s="147"/>
      <c r="L26" s="9"/>
      <c r="M26" s="735"/>
    </row>
    <row r="27" spans="1:13" s="5" customFormat="1" ht="12" customHeight="1">
      <c r="A27" s="148"/>
      <c r="B27" s="9" t="s">
        <v>271</v>
      </c>
      <c r="C27" s="9" t="s">
        <v>279</v>
      </c>
      <c r="D27" s="9"/>
      <c r="E27" s="9"/>
      <c r="F27" s="9"/>
      <c r="G27" s="9"/>
      <c r="H27" s="9"/>
      <c r="I27" s="8" t="s">
        <v>167</v>
      </c>
      <c r="J27" s="151"/>
      <c r="K27" s="147"/>
      <c r="L27" s="9"/>
      <c r="M27" s="152"/>
    </row>
    <row r="28" spans="1:13" s="5" customFormat="1" ht="12" customHeight="1">
      <c r="A28" s="148"/>
      <c r="B28" s="9" t="s">
        <v>272</v>
      </c>
      <c r="C28" s="9" t="s">
        <v>426</v>
      </c>
      <c r="D28" s="544"/>
      <c r="E28" s="544"/>
      <c r="F28" s="9"/>
      <c r="G28" s="9"/>
      <c r="H28" s="9"/>
      <c r="I28" s="8" t="s">
        <v>167</v>
      </c>
      <c r="J28" s="151"/>
      <c r="K28" s="147"/>
      <c r="L28" s="9"/>
      <c r="M28" s="152"/>
    </row>
    <row r="29" spans="1:13" s="5" customFormat="1" ht="14.25" customHeight="1">
      <c r="A29" s="148"/>
      <c r="B29" s="9" t="s">
        <v>280</v>
      </c>
      <c r="C29" s="9"/>
      <c r="D29" s="9"/>
      <c r="E29" s="9"/>
      <c r="F29" s="9"/>
      <c r="G29" s="9"/>
      <c r="H29" s="9"/>
      <c r="I29" s="9"/>
      <c r="J29" s="713"/>
      <c r="K29" s="147"/>
      <c r="L29" s="9"/>
      <c r="M29" s="760"/>
    </row>
    <row r="30" spans="1:13" s="5" customFormat="1" ht="12" customHeight="1">
      <c r="A30" s="148"/>
      <c r="B30" s="841" t="s">
        <v>273</v>
      </c>
      <c r="C30" s="144" t="s">
        <v>366</v>
      </c>
      <c r="D30" s="9"/>
      <c r="E30" s="9"/>
      <c r="F30" s="9"/>
      <c r="G30" s="9"/>
      <c r="H30" s="9"/>
      <c r="I30" s="8" t="s">
        <v>167</v>
      </c>
      <c r="J30" s="735"/>
      <c r="K30" s="147"/>
      <c r="L30" s="9"/>
      <c r="M30" s="735"/>
    </row>
    <row r="31" spans="1:13" s="5" customFormat="1" ht="14.25" customHeight="1">
      <c r="A31" s="840" t="s">
        <v>281</v>
      </c>
      <c r="B31" s="808" t="s">
        <v>427</v>
      </c>
      <c r="C31" s="808"/>
      <c r="D31" s="808"/>
      <c r="E31" s="808"/>
      <c r="F31" s="808"/>
      <c r="G31" s="808"/>
      <c r="H31" s="808"/>
      <c r="I31" s="808"/>
      <c r="J31" s="151"/>
      <c r="K31" s="147"/>
      <c r="L31" s="9"/>
      <c r="M31" s="152"/>
    </row>
    <row r="32" spans="1:13" s="5" customFormat="1" ht="14.25" customHeight="1">
      <c r="A32" s="840" t="s">
        <v>282</v>
      </c>
      <c r="B32" s="144" t="s">
        <v>381</v>
      </c>
      <c r="C32" s="9"/>
      <c r="D32" s="9"/>
      <c r="E32" s="9"/>
      <c r="F32" s="9"/>
      <c r="G32" s="9"/>
      <c r="H32" s="9"/>
      <c r="I32" s="9"/>
      <c r="J32" s="713"/>
      <c r="K32" s="147"/>
      <c r="L32" s="9"/>
      <c r="M32" s="1579"/>
    </row>
    <row r="33" spans="1:23" s="5" customFormat="1" ht="12" customHeight="1">
      <c r="A33" s="148"/>
      <c r="B33" s="144" t="s">
        <v>449</v>
      </c>
      <c r="C33" s="9"/>
      <c r="D33" s="9"/>
      <c r="E33" s="9"/>
      <c r="F33" s="544"/>
      <c r="G33" s="544"/>
      <c r="H33" s="544"/>
      <c r="I33" s="8"/>
      <c r="J33" s="735"/>
      <c r="K33" s="147"/>
      <c r="L33" s="9"/>
      <c r="M33" s="1580"/>
      <c r="O33" s="714"/>
      <c r="P33" s="714"/>
      <c r="Q33" s="714"/>
      <c r="R33" s="714"/>
      <c r="S33" s="714"/>
      <c r="T33" s="714"/>
      <c r="U33" s="714"/>
      <c r="V33" s="714"/>
      <c r="W33" s="714"/>
    </row>
    <row r="34" spans="1:23" s="5" customFormat="1" ht="12" customHeight="1">
      <c r="A34" s="833" t="s">
        <v>176</v>
      </c>
      <c r="B34" s="9" t="s">
        <v>416</v>
      </c>
      <c r="C34" s="9"/>
      <c r="D34" s="544"/>
      <c r="E34" s="9"/>
      <c r="F34" s="9"/>
      <c r="G34" s="9"/>
      <c r="H34" s="9"/>
      <c r="I34" s="9"/>
      <c r="J34" s="713"/>
      <c r="K34" s="147"/>
      <c r="L34" s="9"/>
      <c r="M34" s="505"/>
      <c r="O34" s="1020"/>
      <c r="P34" s="719"/>
      <c r="Q34" s="719"/>
      <c r="R34" s="719"/>
      <c r="S34" s="719"/>
      <c r="T34" s="719"/>
      <c r="U34" s="719"/>
      <c r="V34" s="719"/>
      <c r="W34" s="714"/>
    </row>
    <row r="35" spans="1:23" s="5" customFormat="1" ht="13.5" customHeight="1">
      <c r="A35" s="148"/>
      <c r="B35" s="843" t="s">
        <v>270</v>
      </c>
      <c r="C35" s="1571" t="s">
        <v>469</v>
      </c>
      <c r="D35" s="1571"/>
      <c r="E35" s="1571"/>
      <c r="F35" s="1571"/>
      <c r="G35" s="1571"/>
      <c r="H35" s="1571"/>
      <c r="I35" s="1571"/>
      <c r="J35" s="735"/>
      <c r="K35" s="147"/>
      <c r="L35" s="9"/>
      <c r="M35" s="735"/>
      <c r="O35" s="789"/>
      <c r="P35" s="1016"/>
      <c r="Q35" s="1016"/>
      <c r="R35" s="1016"/>
      <c r="S35" s="1016"/>
      <c r="T35" s="1016"/>
      <c r="U35" s="814"/>
      <c r="V35" s="814"/>
      <c r="W35" s="814"/>
    </row>
    <row r="36" spans="1:23" s="5" customFormat="1" ht="14.25" customHeight="1">
      <c r="A36" s="859" t="s">
        <v>210</v>
      </c>
      <c r="B36" s="843" t="s">
        <v>271</v>
      </c>
      <c r="C36" s="144" t="s">
        <v>688</v>
      </c>
      <c r="D36" s="144"/>
      <c r="E36" s="144"/>
      <c r="F36" s="144"/>
      <c r="G36" s="149"/>
      <c r="H36" s="149"/>
      <c r="I36" s="8" t="s">
        <v>167</v>
      </c>
      <c r="J36" s="10">
        <f>[4]!TuitOutDebtServ</f>
        <v>0</v>
      </c>
      <c r="K36" s="147"/>
      <c r="L36" s="9"/>
      <c r="M36" s="147"/>
      <c r="O36" s="1016"/>
      <c r="P36" s="1016"/>
      <c r="Q36" s="1016"/>
      <c r="R36" s="1016"/>
      <c r="S36" s="1016"/>
      <c r="T36" s="1016"/>
      <c r="U36" s="814"/>
      <c r="V36" s="814"/>
      <c r="W36" s="814"/>
    </row>
    <row r="37" spans="1:23" s="5" customFormat="1" ht="14.25" customHeight="1">
      <c r="A37" s="146" t="s">
        <v>210</v>
      </c>
      <c r="B37" s="841" t="s">
        <v>272</v>
      </c>
      <c r="C37" s="682" t="s">
        <v>619</v>
      </c>
      <c r="D37" s="682"/>
      <c r="E37" s="682"/>
      <c r="F37" s="682"/>
      <c r="G37" s="682"/>
      <c r="H37" s="682"/>
      <c r="I37" s="1225" t="s">
        <v>167</v>
      </c>
      <c r="J37" s="151">
        <f>[4]!RemActAllowBBC</f>
        <v>3460077</v>
      </c>
      <c r="K37" s="147"/>
      <c r="L37" s="9"/>
      <c r="M37" s="147"/>
      <c r="O37" s="814"/>
      <c r="P37" s="814"/>
      <c r="Q37" s="814"/>
      <c r="R37" s="814"/>
      <c r="S37" s="814"/>
      <c r="T37" s="814"/>
      <c r="U37" s="814"/>
      <c r="V37" s="814"/>
      <c r="W37" s="814"/>
    </row>
    <row r="38" spans="1:23" s="5" customFormat="1" ht="14.25" customHeight="1">
      <c r="A38" s="148"/>
      <c r="B38" s="841" t="s">
        <v>273</v>
      </c>
      <c r="C38" s="544" t="s">
        <v>277</v>
      </c>
      <c r="D38" s="544"/>
      <c r="E38" s="544"/>
      <c r="F38" s="544"/>
      <c r="G38" s="544"/>
      <c r="H38" s="544"/>
      <c r="I38" s="1225" t="s">
        <v>167</v>
      </c>
      <c r="J38" s="151"/>
      <c r="K38" s="147"/>
      <c r="L38" s="9"/>
      <c r="M38" s="730"/>
      <c r="O38" s="816"/>
      <c r="P38" s="722"/>
      <c r="Q38" s="722"/>
      <c r="R38" s="722"/>
      <c r="S38" s="721"/>
      <c r="T38" s="721"/>
      <c r="U38" s="721"/>
      <c r="V38" s="719"/>
      <c r="W38" s="714"/>
    </row>
    <row r="39" spans="1:20" s="5" customFormat="1" ht="14.25" customHeight="1">
      <c r="A39" s="148"/>
      <c r="B39" s="965" t="s">
        <v>283</v>
      </c>
      <c r="C39" s="682" t="s">
        <v>367</v>
      </c>
      <c r="D39" s="544"/>
      <c r="E39" s="544"/>
      <c r="F39" s="544"/>
      <c r="G39" s="544"/>
      <c r="H39" s="544"/>
      <c r="I39" s="1225"/>
      <c r="J39" s="713"/>
      <c r="K39" s="147"/>
      <c r="L39" s="9"/>
      <c r="M39" s="763"/>
      <c r="N39" s="714"/>
      <c r="O39" s="1021"/>
      <c r="P39" s="821"/>
      <c r="Q39" s="821"/>
      <c r="R39" s="821"/>
      <c r="S39" s="719"/>
      <c r="T39" s="719"/>
    </row>
    <row r="40" spans="1:20" s="5" customFormat="1" ht="12.75" customHeight="1">
      <c r="A40" s="148"/>
      <c r="B40" s="544"/>
      <c r="C40" s="683" t="s">
        <v>700</v>
      </c>
      <c r="D40" s="845"/>
      <c r="E40" s="544"/>
      <c r="F40" s="544"/>
      <c r="G40" s="544"/>
      <c r="H40" s="544"/>
      <c r="I40" s="1225"/>
      <c r="J40" s="735"/>
      <c r="K40" s="147"/>
      <c r="L40" s="9"/>
      <c r="M40" s="735"/>
      <c r="O40" s="789"/>
      <c r="P40" s="1023"/>
      <c r="Q40" s="1023"/>
      <c r="R40" s="1023"/>
      <c r="S40" s="720"/>
      <c r="T40" s="728"/>
    </row>
    <row r="41" spans="1:20" s="5" customFormat="1" ht="14.25" customHeight="1">
      <c r="A41" s="150" t="s">
        <v>210</v>
      </c>
      <c r="B41" s="983" t="s">
        <v>284</v>
      </c>
      <c r="C41" s="1581" t="s">
        <v>446</v>
      </c>
      <c r="D41" s="1581"/>
      <c r="E41" s="1581"/>
      <c r="F41" s="1581"/>
      <c r="G41" s="1581"/>
      <c r="H41" s="1581"/>
      <c r="I41" s="1581"/>
      <c r="J41" s="650"/>
      <c r="K41" s="147"/>
      <c r="L41" s="9"/>
      <c r="M41" s="650"/>
      <c r="O41" s="1022"/>
      <c r="P41" s="805"/>
      <c r="Q41" s="805"/>
      <c r="R41" s="805"/>
      <c r="S41" s="720"/>
      <c r="T41" s="728"/>
    </row>
    <row r="42" spans="1:20" s="5" customFormat="1" ht="12.75" customHeight="1">
      <c r="A42" s="146" t="s">
        <v>210</v>
      </c>
      <c r="B42" s="965" t="s">
        <v>285</v>
      </c>
      <c r="C42" s="682" t="s">
        <v>666</v>
      </c>
      <c r="D42" s="682"/>
      <c r="E42" s="682"/>
      <c r="F42" s="682"/>
      <c r="G42" s="682"/>
      <c r="H42" s="682"/>
      <c r="I42" s="705"/>
      <c r="J42" s="1584">
        <f>[4]!UnexpBudgPerfPay</f>
        <v>0</v>
      </c>
      <c r="K42" s="147"/>
      <c r="L42" s="9"/>
      <c r="M42" s="147"/>
      <c r="O42" s="816"/>
      <c r="P42" s="709"/>
      <c r="Q42" s="821"/>
      <c r="R42" s="321"/>
      <c r="S42" s="720"/>
      <c r="T42" s="728"/>
    </row>
    <row r="43" spans="1:20" s="5" customFormat="1" ht="13.5" customHeight="1">
      <c r="A43" s="150"/>
      <c r="B43" s="845"/>
      <c r="C43" s="683" t="s">
        <v>620</v>
      </c>
      <c r="D43" s="683"/>
      <c r="E43" s="683"/>
      <c r="F43" s="683"/>
      <c r="G43" s="683"/>
      <c r="H43" s="683"/>
      <c r="I43" s="705"/>
      <c r="J43" s="1585"/>
      <c r="K43" s="147"/>
      <c r="L43" s="9"/>
      <c r="M43" s="345"/>
      <c r="O43" s="719"/>
      <c r="P43" s="1025"/>
      <c r="Q43" s="1025"/>
      <c r="R43" s="1025"/>
      <c r="S43" s="719"/>
      <c r="T43" s="719"/>
    </row>
    <row r="44" spans="1:20" s="5" customFormat="1" ht="12.75" customHeight="1">
      <c r="A44" s="832"/>
      <c r="B44" s="965" t="s">
        <v>286</v>
      </c>
      <c r="C44" s="683" t="s">
        <v>418</v>
      </c>
      <c r="D44" s="683"/>
      <c r="E44" s="683"/>
      <c r="F44" s="683"/>
      <c r="G44" s="683"/>
      <c r="H44" s="683"/>
      <c r="I44" s="705"/>
      <c r="J44" s="731"/>
      <c r="K44" s="700"/>
      <c r="L44" s="9"/>
      <c r="M44" s="345"/>
      <c r="O44" s="1015"/>
      <c r="P44" s="1026"/>
      <c r="Q44" s="1026"/>
      <c r="R44" s="1026"/>
      <c r="S44" s="720"/>
      <c r="T44" s="726"/>
    </row>
    <row r="45" spans="1:20" s="5" customFormat="1" ht="12.75" customHeight="1">
      <c r="A45" s="859" t="s">
        <v>210</v>
      </c>
      <c r="B45" s="965" t="s">
        <v>287</v>
      </c>
      <c r="C45" s="1578" t="s">
        <v>530</v>
      </c>
      <c r="D45" s="1578"/>
      <c r="E45" s="1578"/>
      <c r="F45" s="1578"/>
      <c r="G45" s="1578"/>
      <c r="H45" s="1578"/>
      <c r="I45" s="1578"/>
      <c r="J45" s="1019"/>
      <c r="K45" s="147"/>
      <c r="L45" s="9"/>
      <c r="M45" s="147"/>
      <c r="O45" s="862"/>
      <c r="P45" s="1027"/>
      <c r="Q45" s="1027"/>
      <c r="R45" s="1027"/>
      <c r="S45" s="862"/>
      <c r="T45" s="862"/>
    </row>
    <row r="46" spans="1:20" s="5" customFormat="1" ht="24" customHeight="1">
      <c r="A46" s="844" t="s">
        <v>388</v>
      </c>
      <c r="B46" s="1570" t="s">
        <v>760</v>
      </c>
      <c r="C46" s="1570"/>
      <c r="D46" s="1570"/>
      <c r="E46" s="1570"/>
      <c r="F46" s="1570"/>
      <c r="G46" s="1570"/>
      <c r="H46" s="1570"/>
      <c r="I46" s="1570"/>
      <c r="J46" s="1101"/>
      <c r="K46" s="147"/>
      <c r="L46" s="9"/>
      <c r="M46" s="147"/>
      <c r="O46" s="714"/>
      <c r="P46" s="827"/>
      <c r="Q46" s="827"/>
      <c r="R46" s="827"/>
      <c r="S46" s="714"/>
      <c r="T46" s="714"/>
    </row>
    <row r="47" spans="1:20" s="5" customFormat="1" ht="12.75" customHeight="1">
      <c r="A47" s="1018"/>
      <c r="B47" s="1163" t="s">
        <v>270</v>
      </c>
      <c r="C47" s="1164" t="s">
        <v>379</v>
      </c>
      <c r="D47" s="1165"/>
      <c r="E47" s="1165"/>
      <c r="F47" s="1165"/>
      <c r="G47" s="1165"/>
      <c r="H47" s="1163"/>
      <c r="I47" s="1100"/>
      <c r="J47" s="1102"/>
      <c r="K47" s="147"/>
      <c r="L47" s="9"/>
      <c r="M47" s="147"/>
      <c r="O47" s="714"/>
      <c r="P47" s="827"/>
      <c r="Q47" s="827"/>
      <c r="R47" s="827"/>
      <c r="S47" s="714"/>
      <c r="T47" s="714"/>
    </row>
    <row r="48" spans="1:22" s="5" customFormat="1" ht="12.75" customHeight="1">
      <c r="A48" s="1018"/>
      <c r="B48" s="1163"/>
      <c r="C48" s="1573"/>
      <c r="D48" s="1573"/>
      <c r="E48" s="1573"/>
      <c r="F48" s="1573"/>
      <c r="G48" s="1573"/>
      <c r="H48" s="1163"/>
      <c r="I48" s="1100"/>
      <c r="J48" s="1103"/>
      <c r="K48" s="9"/>
      <c r="L48" s="147"/>
      <c r="N48" s="714"/>
      <c r="O48" s="714"/>
      <c r="P48" s="827"/>
      <c r="Q48" s="827"/>
      <c r="R48" s="827"/>
      <c r="S48" s="714"/>
      <c r="T48" s="714"/>
      <c r="U48" s="714"/>
      <c r="V48" s="714"/>
    </row>
    <row r="49" spans="1:23" s="5" customFormat="1" ht="12.75" customHeight="1">
      <c r="A49" s="1018"/>
      <c r="B49" s="1163" t="s">
        <v>271</v>
      </c>
      <c r="C49" s="1166" t="s">
        <v>577</v>
      </c>
      <c r="D49" s="1166"/>
      <c r="E49" s="1166"/>
      <c r="F49" s="1166"/>
      <c r="G49" s="1163"/>
      <c r="H49" s="1163"/>
      <c r="I49" s="1100"/>
      <c r="J49" s="1104">
        <v>-925000</v>
      </c>
      <c r="K49" s="147"/>
      <c r="L49" s="9"/>
      <c r="M49" s="147"/>
      <c r="O49" s="714"/>
      <c r="P49" s="827"/>
      <c r="Q49" s="827"/>
      <c r="R49" s="827"/>
      <c r="S49" s="714"/>
      <c r="T49" s="714"/>
      <c r="U49" s="714"/>
      <c r="V49" s="714"/>
      <c r="W49" s="714"/>
    </row>
    <row r="50" spans="1:23" s="5" customFormat="1" ht="12.75" customHeight="1">
      <c r="A50" s="1018"/>
      <c r="B50" s="1167" t="s">
        <v>272</v>
      </c>
      <c r="C50" s="1166" t="s">
        <v>384</v>
      </c>
      <c r="D50" s="1166"/>
      <c r="E50" s="1166"/>
      <c r="F50" s="1166"/>
      <c r="G50" s="1166"/>
      <c r="H50" s="1163"/>
      <c r="I50" s="1100"/>
      <c r="J50" s="1104"/>
      <c r="K50" s="147"/>
      <c r="L50" s="9"/>
      <c r="M50" s="147"/>
      <c r="O50" s="714"/>
      <c r="P50" s="827"/>
      <c r="Q50" s="827"/>
      <c r="R50" s="827"/>
      <c r="S50" s="714"/>
      <c r="T50" s="714"/>
      <c r="U50" s="714"/>
      <c r="V50" s="714"/>
      <c r="W50" s="714"/>
    </row>
    <row r="51" spans="1:22" s="5" customFormat="1" ht="12.75" customHeight="1">
      <c r="A51" s="1018"/>
      <c r="B51" s="1163" t="s">
        <v>273</v>
      </c>
      <c r="C51" s="1166" t="s">
        <v>621</v>
      </c>
      <c r="D51" s="1166"/>
      <c r="E51" s="1163"/>
      <c r="F51" s="1163"/>
      <c r="G51" s="1163"/>
      <c r="H51" s="1163"/>
      <c r="I51" s="1100"/>
      <c r="J51" s="1105"/>
      <c r="K51" s="9"/>
      <c r="L51" s="147"/>
      <c r="N51" s="714"/>
      <c r="O51" s="714"/>
      <c r="P51" s="827"/>
      <c r="Q51" s="827"/>
      <c r="R51" s="827"/>
      <c r="S51" s="714"/>
      <c r="T51" s="714"/>
      <c r="U51" s="714"/>
      <c r="V51" s="714"/>
    </row>
    <row r="52" spans="1:23" s="5" customFormat="1" ht="12.75" customHeight="1">
      <c r="A52" s="1018"/>
      <c r="B52" s="575" t="s">
        <v>283</v>
      </c>
      <c r="C52" s="1166" t="s">
        <v>556</v>
      </c>
      <c r="D52" s="1166"/>
      <c r="E52" s="1166"/>
      <c r="F52" s="1166"/>
      <c r="G52" s="1163"/>
      <c r="H52" s="1163"/>
      <c r="I52" s="1100"/>
      <c r="J52" s="1104"/>
      <c r="K52" s="147"/>
      <c r="L52" s="9"/>
      <c r="M52" s="147"/>
      <c r="O52" s="714"/>
      <c r="P52" s="827"/>
      <c r="Q52" s="827"/>
      <c r="R52" s="827"/>
      <c r="S52" s="714"/>
      <c r="T52" s="714"/>
      <c r="U52" s="714"/>
      <c r="V52" s="714"/>
      <c r="W52" s="714"/>
    </row>
    <row r="53" spans="1:22" s="5" customFormat="1" ht="12.75" customHeight="1">
      <c r="A53" s="1018"/>
      <c r="B53" s="1163" t="s">
        <v>284</v>
      </c>
      <c r="C53" s="1166" t="s">
        <v>608</v>
      </c>
      <c r="D53" s="1163"/>
      <c r="E53" s="1166"/>
      <c r="F53" s="1166"/>
      <c r="G53" s="1163"/>
      <c r="H53" s="1163"/>
      <c r="I53" s="1100"/>
      <c r="J53" s="1104">
        <v>-176507</v>
      </c>
      <c r="K53" s="9"/>
      <c r="L53" s="147"/>
      <c r="N53" s="714"/>
      <c r="O53" s="714"/>
      <c r="P53" s="827"/>
      <c r="Q53" s="827"/>
      <c r="R53" s="827"/>
      <c r="S53" s="714"/>
      <c r="T53" s="714"/>
      <c r="U53" s="714"/>
      <c r="V53" s="714"/>
    </row>
    <row r="54" spans="1:23" s="5" customFormat="1" ht="12.75" customHeight="1">
      <c r="A54" s="1018"/>
      <c r="B54" s="1163" t="s">
        <v>285</v>
      </c>
      <c r="C54" s="1166" t="s">
        <v>578</v>
      </c>
      <c r="D54" s="1575"/>
      <c r="E54" s="1575"/>
      <c r="F54" s="1575"/>
      <c r="G54" s="1575"/>
      <c r="H54" s="1166"/>
      <c r="I54" s="1100"/>
      <c r="J54" s="1104"/>
      <c r="K54" s="147"/>
      <c r="L54" s="9"/>
      <c r="M54" s="147"/>
      <c r="O54" s="714"/>
      <c r="P54" s="714"/>
      <c r="Q54" s="714"/>
      <c r="R54" s="714"/>
      <c r="S54" s="714"/>
      <c r="T54" s="714"/>
      <c r="U54" s="714"/>
      <c r="V54" s="714"/>
      <c r="W54" s="714"/>
    </row>
    <row r="55" spans="1:23" s="5" customFormat="1" ht="12.75" customHeight="1">
      <c r="A55" s="844" t="s">
        <v>727</v>
      </c>
      <c r="B55" s="1166" t="s">
        <v>764</v>
      </c>
      <c r="C55" s="1166"/>
      <c r="D55" s="1164"/>
      <c r="E55" s="1164"/>
      <c r="F55" s="1164"/>
      <c r="G55" s="1164"/>
      <c r="H55" s="1166"/>
      <c r="I55" s="1100"/>
      <c r="J55" s="1104">
        <v>1546497</v>
      </c>
      <c r="K55" s="147"/>
      <c r="L55" s="9"/>
      <c r="M55" s="1206"/>
      <c r="O55" s="714"/>
      <c r="P55" s="714"/>
      <c r="Q55" s="714"/>
      <c r="R55" s="714"/>
      <c r="S55" s="714"/>
      <c r="T55" s="714"/>
      <c r="U55" s="714"/>
      <c r="V55" s="714"/>
      <c r="W55" s="714"/>
    </row>
    <row r="56" spans="1:23" s="5" customFormat="1" ht="13.5" customHeight="1">
      <c r="A56" s="793" t="s">
        <v>179</v>
      </c>
      <c r="B56" s="144" t="s">
        <v>644</v>
      </c>
      <c r="C56" s="544"/>
      <c r="D56" s="9"/>
      <c r="E56" s="9"/>
      <c r="F56" s="9"/>
      <c r="G56" s="9"/>
      <c r="H56" s="9"/>
      <c r="I56" s="147"/>
      <c r="J56" s="1576">
        <f>SUM(J10:J45)+SUM(J48:J55)</f>
        <v>208177511</v>
      </c>
      <c r="K56" s="147"/>
      <c r="L56" s="9" t="s">
        <v>167</v>
      </c>
      <c r="M56" s="147"/>
      <c r="O56" s="1044"/>
      <c r="P56" s="789"/>
      <c r="Q56" s="789"/>
      <c r="R56" s="789"/>
      <c r="S56" s="789"/>
      <c r="T56" s="789"/>
      <c r="W56" s="714"/>
    </row>
    <row r="57" spans="1:22" s="5" customFormat="1" ht="13.5" customHeight="1" thickBot="1">
      <c r="A57" s="146"/>
      <c r="B57" s="144" t="s">
        <v>723</v>
      </c>
      <c r="C57" s="9"/>
      <c r="D57" s="544"/>
      <c r="E57" s="9"/>
      <c r="F57" s="9"/>
      <c r="G57" s="9"/>
      <c r="H57" s="9"/>
      <c r="I57" s="8" t="s">
        <v>128</v>
      </c>
      <c r="J57" s="1577"/>
      <c r="K57" s="147"/>
      <c r="L57" s="9"/>
      <c r="M57" s="147"/>
      <c r="O57" s="821"/>
      <c r="P57" s="821"/>
      <c r="Q57" s="821"/>
      <c r="R57" s="868"/>
      <c r="S57" s="817"/>
      <c r="T57" s="817"/>
      <c r="U57" s="788"/>
      <c r="V57" s="788"/>
    </row>
    <row r="58" spans="1:22" s="5" customFormat="1" ht="12.75" customHeight="1" thickTop="1">
      <c r="A58" s="792" t="s">
        <v>180</v>
      </c>
      <c r="B58" s="682" t="s">
        <v>765</v>
      </c>
      <c r="C58" s="788"/>
      <c r="D58" s="788"/>
      <c r="E58" s="788"/>
      <c r="F58" s="788"/>
      <c r="G58" s="788"/>
      <c r="H58" s="788"/>
      <c r="J58" s="505"/>
      <c r="K58" s="147"/>
      <c r="L58" s="9"/>
      <c r="M58" s="1582">
        <f>SUM(M10:M41)+M55</f>
        <v>3154397</v>
      </c>
      <c r="O58" s="1023"/>
      <c r="P58" s="1023"/>
      <c r="Q58" s="1023"/>
      <c r="R58" s="1023"/>
      <c r="S58" s="1023"/>
      <c r="T58" s="1023"/>
      <c r="U58" s="789"/>
      <c r="V58" s="819"/>
    </row>
    <row r="59" spans="1:22" s="5" customFormat="1" ht="12.75" customHeight="1" thickBot="1">
      <c r="A59" s="386"/>
      <c r="B59" s="543" t="s">
        <v>394</v>
      </c>
      <c r="C59" s="788"/>
      <c r="D59" s="788"/>
      <c r="E59" s="788"/>
      <c r="F59" s="788"/>
      <c r="G59" s="788"/>
      <c r="H59" s="788"/>
      <c r="I59" s="473"/>
      <c r="J59" s="500"/>
      <c r="K59" s="147"/>
      <c r="L59" s="8" t="s">
        <v>128</v>
      </c>
      <c r="M59" s="1583"/>
      <c r="O59" s="714"/>
      <c r="P59" s="722"/>
      <c r="Q59" s="720"/>
      <c r="R59" s="860"/>
      <c r="S59" s="714"/>
      <c r="T59" s="714"/>
      <c r="U59" s="817"/>
      <c r="V59" s="817"/>
    </row>
    <row r="60" spans="1:22" s="5" customFormat="1" ht="13.5" customHeight="1" thickTop="1">
      <c r="A60" s="295"/>
      <c r="B60" s="143"/>
      <c r="C60" s="9"/>
      <c r="D60" s="9"/>
      <c r="E60" s="9"/>
      <c r="F60" s="9"/>
      <c r="G60" s="9"/>
      <c r="H60" s="9"/>
      <c r="I60" s="473"/>
      <c r="J60" s="356"/>
      <c r="K60" s="147"/>
      <c r="L60" s="9"/>
      <c r="M60" s="147"/>
      <c r="O60" s="714"/>
      <c r="P60" s="818"/>
      <c r="Q60" s="791"/>
      <c r="R60" s="860"/>
      <c r="S60" s="714"/>
      <c r="T60" s="714"/>
      <c r="U60" s="1560"/>
      <c r="V60" s="1574"/>
    </row>
    <row r="61" spans="1:22" s="5" customFormat="1" ht="13.5" customHeight="1">
      <c r="A61" s="132" t="s">
        <v>210</v>
      </c>
      <c r="B61" s="829" t="s">
        <v>478</v>
      </c>
      <c r="C61" s="543"/>
      <c r="D61" s="544"/>
      <c r="E61" s="544"/>
      <c r="F61" s="543"/>
      <c r="G61" s="544"/>
      <c r="H61" s="544"/>
      <c r="I61" s="544"/>
      <c r="J61" s="544"/>
      <c r="K61" s="544"/>
      <c r="L61" s="544"/>
      <c r="M61" s="7"/>
      <c r="O61" s="714"/>
      <c r="P61" s="815"/>
      <c r="Q61" s="720"/>
      <c r="R61" s="860"/>
      <c r="S61" s="714"/>
      <c r="T61" s="714"/>
      <c r="U61" s="1560"/>
      <c r="V61" s="1560"/>
    </row>
    <row r="62" spans="1:23" s="5" customFormat="1" ht="12" customHeight="1">
      <c r="A62" s="1171"/>
      <c r="B62" s="1172"/>
      <c r="C62" s="7"/>
      <c r="D62" s="9"/>
      <c r="E62" s="9"/>
      <c r="F62" s="9"/>
      <c r="G62" s="9"/>
      <c r="H62" s="9"/>
      <c r="I62" s="9"/>
      <c r="J62" s="9"/>
      <c r="K62" s="9"/>
      <c r="L62" s="9"/>
      <c r="M62" s="7"/>
      <c r="O62" s="714"/>
      <c r="P62" s="722"/>
      <c r="Q62" s="790"/>
      <c r="R62" s="860"/>
      <c r="S62" s="714"/>
      <c r="T62" s="714"/>
      <c r="U62" s="714"/>
      <c r="V62" s="714"/>
      <c r="W62" s="814"/>
    </row>
    <row r="63" spans="1:23" s="5" customFormat="1" ht="12.75" customHeight="1">
      <c r="A63" s="1173"/>
      <c r="B63" s="1036"/>
      <c r="C63" s="9"/>
      <c r="D63" s="9"/>
      <c r="E63" s="9"/>
      <c r="F63" s="9"/>
      <c r="G63" s="9"/>
      <c r="H63" s="9"/>
      <c r="I63" s="9"/>
      <c r="J63" s="9"/>
      <c r="K63" s="9"/>
      <c r="L63" s="9"/>
      <c r="M63" s="7"/>
      <c r="O63" s="714"/>
      <c r="P63" s="816"/>
      <c r="Q63" s="820"/>
      <c r="R63" s="861"/>
      <c r="S63" s="714"/>
      <c r="T63" s="714"/>
      <c r="U63" s="714"/>
      <c r="V63" s="714"/>
      <c r="W63" s="714"/>
    </row>
    <row r="64" spans="1:23" s="5" customFormat="1" ht="12.75" customHeight="1">
      <c r="A64" s="828"/>
      <c r="B64" s="1069"/>
      <c r="C64" s="1069"/>
      <c r="D64" s="1069"/>
      <c r="E64" s="1069"/>
      <c r="F64" s="1069"/>
      <c r="G64" s="1069"/>
      <c r="H64" s="1069"/>
      <c r="I64" s="1069"/>
      <c r="J64" s="1069"/>
      <c r="K64" s="1069"/>
      <c r="L64" s="1069"/>
      <c r="M64" s="1069"/>
      <c r="O64" s="714"/>
      <c r="P64" s="721"/>
      <c r="Q64" s="714"/>
      <c r="R64" s="714"/>
      <c r="S64" s="714"/>
      <c r="T64" s="714"/>
      <c r="U64" s="714"/>
      <c r="V64" s="714"/>
      <c r="W64" s="714"/>
    </row>
    <row r="65" spans="1:23" s="5" customFormat="1" ht="12.75" customHeight="1">
      <c r="A65" s="828"/>
      <c r="B65" s="1069"/>
      <c r="C65" s="1069"/>
      <c r="D65" s="1069"/>
      <c r="E65" s="1069"/>
      <c r="F65" s="1069"/>
      <c r="G65" s="1069"/>
      <c r="H65" s="1069"/>
      <c r="I65" s="1069"/>
      <c r="J65" s="1069"/>
      <c r="K65" s="1069"/>
      <c r="L65" s="1069"/>
      <c r="M65" s="1069"/>
      <c r="O65" s="721"/>
      <c r="P65" s="721"/>
      <c r="Q65" s="721"/>
      <c r="R65" s="721"/>
      <c r="S65" s="862"/>
      <c r="T65" s="721"/>
      <c r="U65" s="714"/>
      <c r="V65" s="714"/>
      <c r="W65" s="714"/>
    </row>
    <row r="66" spans="1:23" s="5" customFormat="1" ht="12.75" customHeight="1">
      <c r="A66" s="829"/>
      <c r="B66" s="1069"/>
      <c r="C66" s="1069"/>
      <c r="D66" s="1069"/>
      <c r="E66" s="1069"/>
      <c r="F66" s="1069"/>
      <c r="G66" s="1069"/>
      <c r="H66" s="1069"/>
      <c r="I66" s="1069"/>
      <c r="J66" s="1069"/>
      <c r="K66" s="1069"/>
      <c r="L66" s="1069"/>
      <c r="M66" s="1069"/>
      <c r="O66" s="714"/>
      <c r="P66" s="714"/>
      <c r="Q66" s="714"/>
      <c r="R66" s="714"/>
      <c r="S66" s="714"/>
      <c r="T66" s="714"/>
      <c r="U66" s="714"/>
      <c r="V66" s="714"/>
      <c r="W66" s="714"/>
    </row>
    <row r="67" spans="1:23" s="5" customFormat="1" ht="11.25" customHeight="1">
      <c r="A67" s="830"/>
      <c r="B67" s="1069"/>
      <c r="C67" s="1069"/>
      <c r="D67" s="1069"/>
      <c r="E67" s="1069"/>
      <c r="F67" s="1069"/>
      <c r="G67" s="1069"/>
      <c r="H67" s="1069"/>
      <c r="I67" s="1069"/>
      <c r="J67" s="1069"/>
      <c r="K67" s="1069"/>
      <c r="L67" s="1069"/>
      <c r="M67" s="1069"/>
      <c r="T67" s="714"/>
      <c r="U67" s="714"/>
      <c r="V67" s="714"/>
      <c r="W67" s="714"/>
    </row>
    <row r="68" spans="1:23" s="5" customFormat="1" ht="12.75" customHeight="1">
      <c r="A68" s="831"/>
      <c r="B68" s="1072"/>
      <c r="C68" s="1072"/>
      <c r="D68" s="1072"/>
      <c r="E68" s="1072"/>
      <c r="F68" s="1072"/>
      <c r="G68" s="1072"/>
      <c r="H68" s="1072"/>
      <c r="I68" s="1072"/>
      <c r="J68" s="1072"/>
      <c r="K68" s="1072"/>
      <c r="L68" s="1072"/>
      <c r="M68" s="1072"/>
      <c r="U68" s="721"/>
      <c r="V68" s="817"/>
      <c r="W68" s="714"/>
    </row>
    <row r="69" spans="1:23" s="5" customFormat="1" ht="53.25" customHeight="1">
      <c r="A69" s="355"/>
      <c r="B69" s="1068"/>
      <c r="C69" s="1068"/>
      <c r="D69" s="1068"/>
      <c r="E69" s="1068"/>
      <c r="F69" s="1068"/>
      <c r="G69" s="1068"/>
      <c r="H69" s="1068"/>
      <c r="I69" s="1068"/>
      <c r="J69" s="1068"/>
      <c r="K69" s="1068"/>
      <c r="L69" s="1068"/>
      <c r="M69" s="1068"/>
      <c r="W69" s="714"/>
    </row>
    <row r="70" spans="1:23" s="5" customFormat="1" ht="10.5" customHeight="1">
      <c r="A70" s="781"/>
      <c r="B70" s="1071"/>
      <c r="C70" s="1071"/>
      <c r="D70" s="1071"/>
      <c r="E70" s="1071"/>
      <c r="F70" s="1071"/>
      <c r="G70" s="1071"/>
      <c r="H70" s="1071"/>
      <c r="I70" s="1071"/>
      <c r="J70" s="1071"/>
      <c r="K70" s="1071"/>
      <c r="L70" s="1071"/>
      <c r="M70" s="1071"/>
      <c r="U70" s="714"/>
      <c r="W70" s="714"/>
    </row>
    <row r="71" spans="1:23" s="5" customFormat="1" ht="4.5" customHeight="1">
      <c r="A71" s="777"/>
      <c r="B71" s="1070"/>
      <c r="C71" s="1070"/>
      <c r="D71" s="1070"/>
      <c r="E71" s="1070"/>
      <c r="F71" s="1070"/>
      <c r="G71" s="1070"/>
      <c r="H71" s="1070"/>
      <c r="I71" s="1070"/>
      <c r="J71" s="1070"/>
      <c r="K71" s="1070"/>
      <c r="L71" s="1070"/>
      <c r="M71" s="1070"/>
      <c r="W71" s="714"/>
    </row>
    <row r="72" spans="1:23" s="5" customFormat="1" ht="24" customHeight="1">
      <c r="A72" s="633"/>
      <c r="B72" s="1069"/>
      <c r="C72" s="1069"/>
      <c r="D72" s="1069"/>
      <c r="E72" s="1069"/>
      <c r="F72" s="1069"/>
      <c r="G72" s="1069"/>
      <c r="H72" s="1069"/>
      <c r="I72" s="1069"/>
      <c r="J72" s="1069"/>
      <c r="K72" s="1069"/>
      <c r="L72" s="1069"/>
      <c r="M72" s="1069"/>
      <c r="W72" s="714"/>
    </row>
    <row r="73" spans="1:25" s="5" customFormat="1" ht="27.75" customHeight="1">
      <c r="A73" s="706"/>
      <c r="B73" s="706"/>
      <c r="C73" s="707"/>
      <c r="D73" s="707"/>
      <c r="E73" s="707"/>
      <c r="F73" s="707"/>
      <c r="G73" s="708"/>
      <c r="H73" s="709"/>
      <c r="I73" s="706"/>
      <c r="J73" s="706"/>
      <c r="K73" s="706"/>
      <c r="L73" s="544"/>
      <c r="M73" s="543"/>
      <c r="X73" s="154"/>
      <c r="Y73" s="154"/>
    </row>
    <row r="74" spans="1:25" s="5" customFormat="1" ht="25.5" customHeight="1">
      <c r="A74" s="633"/>
      <c r="B74" s="1069"/>
      <c r="C74" s="1069"/>
      <c r="D74" s="1069"/>
      <c r="E74" s="1069"/>
      <c r="F74" s="1069"/>
      <c r="G74" s="1069"/>
      <c r="H74" s="1069"/>
      <c r="I74" s="1069"/>
      <c r="J74" s="1069"/>
      <c r="K74" s="1069"/>
      <c r="L74" s="1069"/>
      <c r="M74" s="1069"/>
      <c r="X74" s="154"/>
      <c r="Y74" s="154"/>
    </row>
    <row r="75" spans="1:26" s="153" customFormat="1" ht="12.75" customHeight="1">
      <c r="A75" s="355"/>
      <c r="B75" s="715"/>
      <c r="C75" s="715"/>
      <c r="D75" s="715"/>
      <c r="E75" s="715"/>
      <c r="F75" s="715"/>
      <c r="G75" s="715"/>
      <c r="H75" s="715"/>
      <c r="I75" s="715"/>
      <c r="J75" s="715"/>
      <c r="K75" s="715"/>
      <c r="L75" s="715"/>
      <c r="M75" s="715"/>
      <c r="N75" s="154"/>
      <c r="O75" s="154"/>
      <c r="P75" s="154"/>
      <c r="Q75" s="154"/>
      <c r="R75" s="154"/>
      <c r="S75" s="154"/>
      <c r="T75" s="154"/>
      <c r="U75" s="154"/>
      <c r="V75" s="154"/>
      <c r="W75" s="5"/>
      <c r="X75" s="154"/>
      <c r="Y75" s="154"/>
      <c r="Z75" s="154"/>
    </row>
    <row r="76" spans="1:26" s="153" customFormat="1" ht="12">
      <c r="A76" s="154"/>
      <c r="B76" s="154"/>
      <c r="C76" s="154"/>
      <c r="D76" s="154"/>
      <c r="E76" s="154"/>
      <c r="F76" s="154"/>
      <c r="G76" s="154"/>
      <c r="H76" s="154"/>
      <c r="I76" s="154"/>
      <c r="J76" s="154"/>
      <c r="K76" s="154"/>
      <c r="L76" s="154"/>
      <c r="M76" s="154"/>
      <c r="N76" s="154"/>
      <c r="O76" s="154"/>
      <c r="P76" s="154"/>
      <c r="Q76" s="154"/>
      <c r="R76" s="154"/>
      <c r="S76" s="154"/>
      <c r="T76" s="154"/>
      <c r="U76" s="154"/>
      <c r="V76" s="154"/>
      <c r="W76" s="5"/>
      <c r="X76" s="154"/>
      <c r="Y76" s="154"/>
      <c r="Z76" s="154"/>
    </row>
    <row r="77" ht="12">
      <c r="W77" s="5"/>
    </row>
    <row r="78" spans="15:23" ht="12">
      <c r="O78" s="827"/>
      <c r="P78" s="827"/>
      <c r="Q78" s="827"/>
      <c r="R78" s="827"/>
      <c r="W78" s="5"/>
    </row>
  </sheetData>
  <sheetProtection formatCells="0" formatColumns="0" formatRows="0"/>
  <mergeCells count="22">
    <mergeCell ref="U61:V61"/>
    <mergeCell ref="C41:I41"/>
    <mergeCell ref="M58:M59"/>
    <mergeCell ref="J42:J43"/>
    <mergeCell ref="D1:E1"/>
    <mergeCell ref="G1:I1"/>
    <mergeCell ref="I22:I23"/>
    <mergeCell ref="A3:M3"/>
    <mergeCell ref="B22:H23"/>
    <mergeCell ref="C12:F12"/>
    <mergeCell ref="C48:G48"/>
    <mergeCell ref="U60:V60"/>
    <mergeCell ref="D54:G54"/>
    <mergeCell ref="J56:J57"/>
    <mergeCell ref="C45:I45"/>
    <mergeCell ref="M32:M33"/>
    <mergeCell ref="C16:F16"/>
    <mergeCell ref="B46:I46"/>
    <mergeCell ref="C14:F14"/>
    <mergeCell ref="C35:I35"/>
    <mergeCell ref="C15:F15"/>
    <mergeCell ref="B18:I18"/>
  </mergeCells>
  <dataValidations count="2">
    <dataValidation type="whole" operator="lessThanOrEqual" allowBlank="1" showInputMessage="1" showErrorMessage="1" prompt="This amount must be negative. Enter amount in parentheses." error="This amount must be negative." sqref="J48:J49 J51">
      <formula1>0</formula1>
    </dataValidation>
    <dataValidation allowBlank="1" showInputMessage="1" showErrorMessage="1" prompt="Enter negative amount in parentheses." sqref="J52:J54"/>
  </dataValidations>
  <hyperlinks>
    <hyperlink ref="A9" location="Page7l1" display="1."/>
    <hyperlink ref="A18" location="Page7l3" display="3."/>
    <hyperlink ref="B19" location="Page7l3a" display="(a)"/>
    <hyperlink ref="B20" location="Page7l3b" display="(b)"/>
    <hyperlink ref="B21" location="Page7l3c" display="(c)"/>
    <hyperlink ref="A22" location="Page7l4" display="*4."/>
    <hyperlink ref="A24" location="Page7l5" display="*5."/>
    <hyperlink ref="B30" location="Page7l5d" display="(d)"/>
    <hyperlink ref="A32" location="Page7l7" display="*7."/>
    <hyperlink ref="B35" location="Page7l8a" display="(a)"/>
    <hyperlink ref="B37" location="Page7l8c" display="(c)"/>
    <hyperlink ref="B38" location="Page7l8d" display="(d)"/>
    <hyperlink ref="A31" location="Page7l6" display="*6."/>
    <hyperlink ref="B15" location="Page7l2b" display="(b)"/>
    <hyperlink ref="A46" location="Page7l9" display="*9."/>
    <hyperlink ref="A14" location="Page7l2athroughb" display="2."/>
    <hyperlink ref="B36" location="Page7l8b" display="(b)"/>
    <hyperlink ref="B45" location="Page7l8i" display="(i)"/>
    <hyperlink ref="B41" location="Page7l8f" display="(f)"/>
    <hyperlink ref="B42" location="Page7l8g" display="(g)"/>
    <hyperlink ref="B39" location="Page7l8e" display="(e)"/>
    <hyperlink ref="B44" location="Page7l8h" display="(h)"/>
    <hyperlink ref="A55" location="Page7l10" display="10."/>
  </hyperlinks>
  <printOptions horizontalCentered="1"/>
  <pageMargins left="0.25" right="0.25" top="0.25" bottom="0.25" header="0" footer="0.25"/>
  <pageSetup fitToHeight="1" fitToWidth="1" horizontalDpi="600" verticalDpi="600" orientation="landscape" paperSize="5" scale="57"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V125"/>
  <sheetViews>
    <sheetView showGridLines="0" zoomScale="145" zoomScaleNormal="145" zoomScalePageLayoutView="0" workbookViewId="0" topLeftCell="A7">
      <selection activeCell="Q33" sqref="Q33"/>
    </sheetView>
  </sheetViews>
  <sheetFormatPr defaultColWidth="8.77734375" defaultRowHeight="15"/>
  <cols>
    <col min="1" max="3" width="2.21484375" style="309" customWidth="1"/>
    <col min="4" max="4" width="8.6640625" style="309" customWidth="1"/>
    <col min="5" max="5" width="23.4453125" style="309" customWidth="1"/>
    <col min="6" max="7" width="10.77734375" style="309" customWidth="1"/>
    <col min="8" max="8" width="10.99609375" style="309" customWidth="1"/>
    <col min="9" max="9" width="0.78125" style="309" customWidth="1"/>
    <col min="10" max="10" width="1.2265625" style="309" customWidth="1"/>
    <col min="11" max="11" width="11.77734375" style="309" customWidth="1"/>
    <col min="12" max="12" width="10.77734375" style="309" customWidth="1"/>
    <col min="13" max="13" width="2.99609375" style="309" customWidth="1"/>
    <col min="14" max="14" width="1.99609375" style="309" customWidth="1"/>
    <col min="15" max="15" width="4.77734375" style="309" customWidth="1"/>
    <col min="16" max="18" width="12.5546875" style="309" customWidth="1"/>
    <col min="19" max="19" width="4.21484375" style="309" customWidth="1"/>
    <col min="20" max="20" width="1.66796875" style="309" customWidth="1"/>
    <col min="21" max="21" width="8.77734375" style="309" customWidth="1"/>
    <col min="22" max="22" width="12.4453125" style="309" customWidth="1"/>
    <col min="23" max="16384" width="8.77734375" style="309" customWidth="1"/>
  </cols>
  <sheetData>
    <row r="1" spans="1:11" ht="12.75">
      <c r="A1" s="474" t="s">
        <v>263</v>
      </c>
      <c r="B1" s="475"/>
      <c r="C1" s="475"/>
      <c r="D1" s="475"/>
      <c r="E1" s="476" t="str">
        <f>Cover!C1</f>
        <v>Gilbert Public Schools</v>
      </c>
      <c r="F1" s="477" t="s">
        <v>115</v>
      </c>
      <c r="G1" s="476" t="str">
        <f>Cover!H1</f>
        <v>Maricopa</v>
      </c>
      <c r="I1" s="478"/>
      <c r="J1" s="478" t="s">
        <v>266</v>
      </c>
      <c r="K1" s="479" t="str">
        <f>Cover!Q1</f>
        <v>070241000</v>
      </c>
    </row>
    <row r="2" spans="1:22" ht="12.75">
      <c r="A2" s="256"/>
      <c r="B2" s="257"/>
      <c r="C2" s="257"/>
      <c r="D2" s="257"/>
      <c r="E2" s="86"/>
      <c r="F2" s="86"/>
      <c r="G2" s="86"/>
      <c r="H2" s="535"/>
      <c r="I2" s="535"/>
      <c r="J2" s="625" t="s">
        <v>172</v>
      </c>
      <c r="K2" s="634" t="str">
        <f>Cover!C8</f>
        <v>Revised #2</v>
      </c>
      <c r="N2" s="487"/>
      <c r="O2" s="487"/>
      <c r="P2" s="487"/>
      <c r="Q2" s="487"/>
      <c r="R2" s="487"/>
      <c r="S2" s="487"/>
      <c r="T2" s="487"/>
      <c r="U2" s="487"/>
      <c r="V2" s="487"/>
    </row>
    <row r="3" spans="1:11" ht="18" customHeight="1">
      <c r="A3" s="1597" t="s">
        <v>761</v>
      </c>
      <c r="B3" s="1598"/>
      <c r="C3" s="1598"/>
      <c r="D3" s="1598"/>
      <c r="E3" s="1598"/>
      <c r="F3" s="1598"/>
      <c r="G3" s="1598"/>
      <c r="H3" s="1598"/>
      <c r="I3" s="1598"/>
      <c r="J3" s="1598"/>
      <c r="K3" s="1598"/>
    </row>
    <row r="4" spans="1:11" ht="13.5" customHeight="1">
      <c r="A4" s="1598"/>
      <c r="B4" s="1598"/>
      <c r="C4" s="1598"/>
      <c r="D4" s="1598"/>
      <c r="E4" s="1598"/>
      <c r="F4" s="1598"/>
      <c r="G4" s="1598"/>
      <c r="H4" s="1598"/>
      <c r="I4" s="1598"/>
      <c r="J4" s="1598"/>
      <c r="K4" s="1598"/>
    </row>
    <row r="5" spans="1:11" ht="5.25" customHeight="1">
      <c r="A5" s="480"/>
      <c r="B5" s="481"/>
      <c r="C5" s="481"/>
      <c r="D5" s="481"/>
      <c r="E5" s="86"/>
      <c r="F5" s="86"/>
      <c r="G5" s="86"/>
      <c r="H5" s="86"/>
      <c r="I5" s="86"/>
      <c r="J5" s="86"/>
      <c r="K5" s="86"/>
    </row>
    <row r="6" spans="1:11" ht="30.75" customHeight="1">
      <c r="A6" s="985" t="s">
        <v>762</v>
      </c>
      <c r="B6" s="482"/>
      <c r="C6" s="482"/>
      <c r="D6" s="483"/>
      <c r="E6" s="296"/>
      <c r="F6" s="296"/>
      <c r="G6" s="296"/>
      <c r="H6" s="296"/>
      <c r="I6" s="296"/>
      <c r="J6" s="296"/>
      <c r="K6" s="325"/>
    </row>
    <row r="7" spans="1:11" ht="12" customHeight="1">
      <c r="A7" s="484" t="s">
        <v>130</v>
      </c>
      <c r="B7" s="485" t="s">
        <v>118</v>
      </c>
      <c r="C7" s="511" t="s">
        <v>669</v>
      </c>
      <c r="E7" s="684"/>
      <c r="F7" s="684"/>
      <c r="G7" s="684"/>
      <c r="H7" s="684"/>
      <c r="I7" s="296"/>
      <c r="J7" s="296"/>
      <c r="K7" s="1599">
        <f>[2]!UCBLBudgFY</f>
        <v>6200000</v>
      </c>
    </row>
    <row r="8" spans="2:11" ht="12.75" customHeight="1">
      <c r="B8" s="1029"/>
      <c r="C8" s="1595" t="s">
        <v>670</v>
      </c>
      <c r="D8" s="1595"/>
      <c r="E8" s="1595"/>
      <c r="F8" s="1595"/>
      <c r="G8" s="1595"/>
      <c r="H8" s="1595"/>
      <c r="J8" s="88" t="s">
        <v>128</v>
      </c>
      <c r="K8" s="1600"/>
    </row>
    <row r="9" spans="2:11" ht="14.25" customHeight="1">
      <c r="B9" s="836" t="s">
        <v>120</v>
      </c>
      <c r="C9" s="486" t="s">
        <v>448</v>
      </c>
      <c r="E9" s="487"/>
      <c r="F9" s="487"/>
      <c r="G9" s="487"/>
      <c r="H9" s="487"/>
      <c r="J9" s="88"/>
      <c r="K9" s="764"/>
    </row>
    <row r="10" spans="2:11" ht="12.75" customHeight="1">
      <c r="B10" s="487"/>
      <c r="C10" s="1601" t="s">
        <v>447</v>
      </c>
      <c r="D10" s="1601"/>
      <c r="E10" s="1601"/>
      <c r="F10" s="1601"/>
      <c r="G10" s="1601"/>
      <c r="H10" s="1601"/>
      <c r="J10" s="88" t="s">
        <v>128</v>
      </c>
      <c r="K10" s="488">
        <v>-63348</v>
      </c>
    </row>
    <row r="11" spans="2:11" ht="14.25" customHeight="1">
      <c r="B11" s="836" t="s">
        <v>127</v>
      </c>
      <c r="C11" s="1602" t="s">
        <v>671</v>
      </c>
      <c r="D11" s="1602"/>
      <c r="E11" s="1602"/>
      <c r="F11" s="1602"/>
      <c r="G11" s="1602"/>
      <c r="H11" s="1602"/>
      <c r="J11" s="88" t="s">
        <v>128</v>
      </c>
      <c r="K11" s="490">
        <f>K7+K10</f>
        <v>6136652</v>
      </c>
    </row>
    <row r="12" spans="2:11" ht="14.25" customHeight="1">
      <c r="B12" s="485" t="s">
        <v>131</v>
      </c>
      <c r="C12" s="1596" t="s">
        <v>672</v>
      </c>
      <c r="D12" s="1596"/>
      <c r="E12" s="1596"/>
      <c r="F12" s="1596"/>
      <c r="G12" s="1596"/>
      <c r="H12" s="1596"/>
      <c r="J12" s="88"/>
      <c r="K12" s="491"/>
    </row>
    <row r="13" spans="2:11" ht="14.25" customHeight="1">
      <c r="B13" s="485"/>
      <c r="C13" s="1596" t="s">
        <v>673</v>
      </c>
      <c r="D13" s="1596"/>
      <c r="E13" s="1596"/>
      <c r="F13" s="1596"/>
      <c r="G13" s="1596"/>
      <c r="H13" s="1596"/>
      <c r="J13" s="88" t="s">
        <v>128</v>
      </c>
      <c r="K13" s="491">
        <f>[2]!F610TotalBudgFY</f>
        <v>6200000</v>
      </c>
    </row>
    <row r="14" spans="2:11" ht="14.25" customHeight="1">
      <c r="B14" s="485" t="s">
        <v>132</v>
      </c>
      <c r="C14" s="1616" t="s">
        <v>538</v>
      </c>
      <c r="D14" s="1616"/>
      <c r="E14" s="1616"/>
      <c r="F14" s="1616"/>
      <c r="G14" s="1616"/>
      <c r="H14" s="1616"/>
      <c r="J14" s="88" t="s">
        <v>128</v>
      </c>
      <c r="K14" s="492">
        <f>IF(K10&gt;0,MIN(K13+K10,K11),MIN(K11,K13))</f>
        <v>6136652</v>
      </c>
    </row>
    <row r="15" spans="2:11" ht="14.25" customHeight="1">
      <c r="B15" s="837" t="s">
        <v>133</v>
      </c>
      <c r="C15" s="1611" t="s">
        <v>674</v>
      </c>
      <c r="D15" s="1611"/>
      <c r="E15" s="1611"/>
      <c r="F15" s="1611"/>
      <c r="G15" s="1611"/>
      <c r="H15" s="1611"/>
      <c r="J15" s="88"/>
      <c r="K15" s="491"/>
    </row>
    <row r="16" spans="2:11" ht="14.25" customHeight="1">
      <c r="B16" s="485"/>
      <c r="C16" s="1596" t="s">
        <v>278</v>
      </c>
      <c r="D16" s="1596"/>
      <c r="E16" s="1596"/>
      <c r="F16" s="1596"/>
      <c r="G16" s="1596"/>
      <c r="H16" s="1596"/>
      <c r="J16" s="88" t="s">
        <v>128</v>
      </c>
      <c r="K16" s="493">
        <v>4242377</v>
      </c>
    </row>
    <row r="17" spans="2:11" ht="14.25" customHeight="1">
      <c r="B17" s="485" t="s">
        <v>134</v>
      </c>
      <c r="C17" s="1596" t="s">
        <v>385</v>
      </c>
      <c r="D17" s="1596"/>
      <c r="E17" s="1596"/>
      <c r="F17" s="1596"/>
      <c r="G17" s="1596"/>
      <c r="H17" s="1596"/>
      <c r="K17" s="1605">
        <f>IF(K14-K16&gt;0,K14-K16,0)</f>
        <v>1894275</v>
      </c>
    </row>
    <row r="18" spans="2:11" ht="14.25" customHeight="1">
      <c r="B18" s="485"/>
      <c r="C18" s="1030" t="s">
        <v>38</v>
      </c>
      <c r="D18" s="486"/>
      <c r="E18" s="489"/>
      <c r="F18" s="489"/>
      <c r="G18" s="703" t="str">
        <f>IF((K14-K16)&lt;0,K14-K16,"--")</f>
        <v>--</v>
      </c>
      <c r="H18" s="489"/>
      <c r="J18" s="88" t="s">
        <v>128</v>
      </c>
      <c r="K18" s="1606"/>
    </row>
    <row r="19" spans="1:11" ht="14.25" customHeight="1">
      <c r="A19" s="494"/>
      <c r="B19" s="837" t="s">
        <v>176</v>
      </c>
      <c r="C19" s="1031" t="s">
        <v>675</v>
      </c>
      <c r="D19" s="486"/>
      <c r="E19" s="685"/>
      <c r="F19" s="495"/>
      <c r="G19" s="495"/>
      <c r="H19" s="495"/>
      <c r="I19" s="495"/>
      <c r="J19" s="88" t="s">
        <v>128</v>
      </c>
      <c r="K19" s="496">
        <v>10518</v>
      </c>
    </row>
    <row r="20" spans="1:12" ht="13.5" customHeight="1">
      <c r="A20" s="1048"/>
      <c r="B20" s="837" t="s">
        <v>177</v>
      </c>
      <c r="C20" s="1031" t="s">
        <v>52</v>
      </c>
      <c r="D20" s="511"/>
      <c r="E20" s="1049"/>
      <c r="F20" s="1049"/>
      <c r="G20" s="1049"/>
      <c r="H20" s="1049"/>
      <c r="I20" s="1017"/>
      <c r="J20" s="536" t="s">
        <v>128</v>
      </c>
      <c r="K20" s="1050"/>
      <c r="L20" s="545"/>
    </row>
    <row r="21" spans="1:12" s="487" customFormat="1" ht="4.5" customHeight="1">
      <c r="A21" s="1017"/>
      <c r="B21" s="1017"/>
      <c r="C21" s="1017"/>
      <c r="D21" s="511"/>
      <c r="E21" s="511"/>
      <c r="F21" s="511"/>
      <c r="G21" s="511"/>
      <c r="H21" s="511"/>
      <c r="I21" s="1017"/>
      <c r="J21" s="1017"/>
      <c r="K21" s="1017"/>
      <c r="L21" s="1017"/>
    </row>
    <row r="22" spans="1:22" s="487" customFormat="1" ht="13.5" customHeight="1">
      <c r="A22" s="1017"/>
      <c r="B22" s="837" t="s">
        <v>178</v>
      </c>
      <c r="C22" s="1611" t="s">
        <v>648</v>
      </c>
      <c r="D22" s="1611"/>
      <c r="E22" s="1611"/>
      <c r="F22" s="1611"/>
      <c r="G22" s="1611"/>
      <c r="H22" s="1611"/>
      <c r="I22" s="1017"/>
      <c r="J22" s="536"/>
      <c r="K22" s="1592"/>
      <c r="L22" s="1017"/>
      <c r="N22" s="787"/>
      <c r="O22" s="788"/>
      <c r="P22" s="788"/>
      <c r="Q22" s="788"/>
      <c r="R22" s="788"/>
      <c r="S22" s="788"/>
      <c r="T22" s="788"/>
      <c r="U22" s="788"/>
      <c r="V22" s="788"/>
    </row>
    <row r="23" spans="1:22" s="487" customFormat="1" ht="13.5" customHeight="1">
      <c r="A23" s="1017"/>
      <c r="B23" s="1028"/>
      <c r="C23" s="1168" t="s">
        <v>270</v>
      </c>
      <c r="D23" s="1169" t="s">
        <v>379</v>
      </c>
      <c r="E23" s="1169"/>
      <c r="F23" s="1169"/>
      <c r="G23" s="1169"/>
      <c r="H23" s="1169"/>
      <c r="I23" s="1017"/>
      <c r="J23" s="536"/>
      <c r="K23" s="1592"/>
      <c r="L23" s="1017"/>
      <c r="N23" s="787"/>
      <c r="O23" s="788"/>
      <c r="P23" s="788"/>
      <c r="Q23" s="788"/>
      <c r="R23" s="788"/>
      <c r="S23" s="788"/>
      <c r="T23" s="788"/>
      <c r="U23" s="788"/>
      <c r="V23" s="788"/>
    </row>
    <row r="24" spans="1:22" s="487" customFormat="1" ht="13.5" customHeight="1">
      <c r="A24" s="1017"/>
      <c r="B24" s="1028"/>
      <c r="C24" s="1028"/>
      <c r="D24" s="1604"/>
      <c r="E24" s="1604"/>
      <c r="F24" s="1604"/>
      <c r="G24" s="1604"/>
      <c r="H24" s="1169"/>
      <c r="I24" s="1017"/>
      <c r="J24" s="536" t="s">
        <v>128</v>
      </c>
      <c r="K24" s="1294"/>
      <c r="L24" s="1017"/>
      <c r="N24" s="787"/>
      <c r="O24" s="788"/>
      <c r="P24" s="788"/>
      <c r="Q24" s="788"/>
      <c r="R24" s="788"/>
      <c r="S24" s="788"/>
      <c r="T24" s="788"/>
      <c r="U24" s="788"/>
      <c r="V24" s="788"/>
    </row>
    <row r="25" spans="1:22" s="487" customFormat="1" ht="1.5" customHeight="1">
      <c r="A25" s="1017"/>
      <c r="B25" s="1028"/>
      <c r="C25" s="1168"/>
      <c r="D25" s="1169"/>
      <c r="E25" s="1169"/>
      <c r="F25" s="1169"/>
      <c r="G25" s="1169"/>
      <c r="H25" s="1169"/>
      <c r="I25" s="1017"/>
      <c r="J25" s="536"/>
      <c r="K25" s="1055"/>
      <c r="L25" s="1017"/>
      <c r="N25" s="787"/>
      <c r="O25" s="788"/>
      <c r="P25" s="788"/>
      <c r="Q25" s="788"/>
      <c r="R25" s="788"/>
      <c r="S25" s="788"/>
      <c r="T25" s="788"/>
      <c r="U25" s="788"/>
      <c r="V25" s="788"/>
    </row>
    <row r="26" spans="1:22" s="487" customFormat="1" ht="13.5" customHeight="1">
      <c r="A26" s="1017"/>
      <c r="B26" s="1028"/>
      <c r="C26" s="1170" t="s">
        <v>271</v>
      </c>
      <c r="D26" s="1169" t="s">
        <v>621</v>
      </c>
      <c r="E26" s="1169"/>
      <c r="F26" s="1169"/>
      <c r="G26" s="1169"/>
      <c r="H26" s="1169"/>
      <c r="I26" s="1017"/>
      <c r="J26" s="536" t="s">
        <v>128</v>
      </c>
      <c r="K26" s="1294"/>
      <c r="L26" s="1017"/>
      <c r="N26" s="787"/>
      <c r="O26" s="788"/>
      <c r="P26" s="788"/>
      <c r="Q26" s="788"/>
      <c r="R26" s="788"/>
      <c r="S26" s="788"/>
      <c r="T26" s="788"/>
      <c r="U26" s="788"/>
      <c r="V26" s="788"/>
    </row>
    <row r="27" spans="1:22" s="487" customFormat="1" ht="13.5" customHeight="1">
      <c r="A27" s="1017"/>
      <c r="B27" s="1028"/>
      <c r="C27" s="1170" t="s">
        <v>272</v>
      </c>
      <c r="D27" s="1169" t="s">
        <v>608</v>
      </c>
      <c r="E27" s="1169"/>
      <c r="F27" s="1169"/>
      <c r="G27" s="1169"/>
      <c r="H27" s="1169"/>
      <c r="I27" s="1017"/>
      <c r="J27" s="536" t="s">
        <v>128</v>
      </c>
      <c r="K27" s="1106"/>
      <c r="L27" s="1017"/>
      <c r="N27" s="787"/>
      <c r="O27" s="788"/>
      <c r="P27" s="788"/>
      <c r="Q27" s="788"/>
      <c r="R27" s="788"/>
      <c r="S27" s="788"/>
      <c r="T27" s="788"/>
      <c r="U27" s="788"/>
      <c r="V27" s="788"/>
    </row>
    <row r="28" spans="1:22" s="487" customFormat="1" ht="13.5" customHeight="1">
      <c r="A28" s="1017"/>
      <c r="B28" s="1028"/>
      <c r="C28" s="1168" t="s">
        <v>273</v>
      </c>
      <c r="D28" s="1169" t="s">
        <v>578</v>
      </c>
      <c r="E28" s="1604"/>
      <c r="F28" s="1604"/>
      <c r="G28" s="1604"/>
      <c r="H28" s="1169"/>
      <c r="I28" s="1017"/>
      <c r="J28" s="536" t="s">
        <v>128</v>
      </c>
      <c r="K28" s="1106"/>
      <c r="L28" s="1017"/>
      <c r="N28" s="1034"/>
      <c r="O28" s="1024"/>
      <c r="P28" s="1024"/>
      <c r="Q28" s="1024"/>
      <c r="R28" s="1024"/>
      <c r="S28" s="1024"/>
      <c r="T28" s="1024"/>
      <c r="U28" s="1024"/>
      <c r="V28" s="1024"/>
    </row>
    <row r="29" spans="1:22" s="487" customFormat="1" ht="3.75" customHeight="1">
      <c r="A29" s="1017"/>
      <c r="B29" s="1051"/>
      <c r="C29" s="1051"/>
      <c r="D29" s="511"/>
      <c r="E29" s="1052"/>
      <c r="F29" s="1052"/>
      <c r="G29" s="1017"/>
      <c r="H29" s="1017"/>
      <c r="I29" s="1017"/>
      <c r="J29" s="536"/>
      <c r="K29" s="975"/>
      <c r="L29" s="1017"/>
      <c r="N29" s="1640"/>
      <c r="O29" s="1641"/>
      <c r="P29" s="1641"/>
      <c r="Q29" s="1641"/>
      <c r="R29" s="1641"/>
      <c r="S29" s="1641"/>
      <c r="T29" s="1641"/>
      <c r="U29" s="1641"/>
      <c r="V29" s="1641"/>
    </row>
    <row r="30" spans="1:22" ht="13.5" customHeight="1">
      <c r="A30" s="1053"/>
      <c r="B30" s="778" t="s">
        <v>179</v>
      </c>
      <c r="C30" s="1204" t="s">
        <v>633</v>
      </c>
      <c r="D30" s="511"/>
      <c r="E30" s="685"/>
      <c r="F30" s="584"/>
      <c r="G30" s="584"/>
      <c r="H30" s="685"/>
      <c r="I30" s="685"/>
      <c r="J30" s="536" t="s">
        <v>128</v>
      </c>
      <c r="K30" s="1054">
        <f>TotAmtCapExped</f>
        <v>3154397</v>
      </c>
      <c r="L30" s="545"/>
      <c r="N30" s="1641"/>
      <c r="O30" s="1641"/>
      <c r="P30" s="1641"/>
      <c r="Q30" s="1641"/>
      <c r="R30" s="1641"/>
      <c r="S30" s="1641"/>
      <c r="T30" s="1641"/>
      <c r="U30" s="1641"/>
      <c r="V30" s="1641"/>
    </row>
    <row r="31" spans="1:22" ht="6" customHeight="1">
      <c r="A31" s="1053"/>
      <c r="B31" s="1051"/>
      <c r="C31" s="1051"/>
      <c r="D31" s="511"/>
      <c r="E31" s="685"/>
      <c r="F31" s="584"/>
      <c r="G31" s="584"/>
      <c r="H31" s="685"/>
      <c r="I31" s="685"/>
      <c r="J31" s="536"/>
      <c r="K31" s="1055"/>
      <c r="L31" s="545"/>
      <c r="N31" s="1641"/>
      <c r="O31" s="1641"/>
      <c r="P31" s="1641"/>
      <c r="Q31" s="1641"/>
      <c r="R31" s="1641"/>
      <c r="S31" s="1641"/>
      <c r="T31" s="1641"/>
      <c r="U31" s="1641"/>
      <c r="V31" s="1641"/>
    </row>
    <row r="32" spans="1:22" ht="13.5" customHeight="1" thickBot="1">
      <c r="A32" s="536"/>
      <c r="B32" s="778" t="s">
        <v>180</v>
      </c>
      <c r="C32" s="1204" t="s">
        <v>649</v>
      </c>
      <c r="D32" s="511"/>
      <c r="E32" s="1049"/>
      <c r="F32" s="1049"/>
      <c r="G32" s="1056"/>
      <c r="H32" s="1049"/>
      <c r="I32" s="1017"/>
      <c r="J32" s="536" t="s">
        <v>128</v>
      </c>
      <c r="K32" s="1057">
        <f>SUM(K17:K30)</f>
        <v>5059190</v>
      </c>
      <c r="L32" s="545"/>
      <c r="N32" s="1035"/>
      <c r="O32" s="821"/>
      <c r="P32" s="821"/>
      <c r="Q32" s="821"/>
      <c r="R32" s="169"/>
      <c r="S32" s="169"/>
      <c r="T32" s="169"/>
      <c r="U32" s="169"/>
      <c r="V32" s="1036"/>
    </row>
    <row r="33" spans="1:22" ht="8.25" customHeight="1" thickTop="1">
      <c r="A33" s="536"/>
      <c r="B33" s="545"/>
      <c r="C33" s="545"/>
      <c r="D33" s="511"/>
      <c r="E33" s="1017"/>
      <c r="F33" s="1017"/>
      <c r="G33" s="1017"/>
      <c r="H33" s="1017"/>
      <c r="I33" s="1017"/>
      <c r="J33" s="536"/>
      <c r="K33" s="975"/>
      <c r="L33" s="545"/>
      <c r="N33" s="169"/>
      <c r="O33" s="267"/>
      <c r="P33" s="267"/>
      <c r="Q33" s="267"/>
      <c r="R33" s="267"/>
      <c r="S33" s="169"/>
      <c r="T33" s="1636"/>
      <c r="U33" s="1354"/>
      <c r="V33" s="1036"/>
    </row>
    <row r="34" spans="1:22" ht="3" customHeight="1">
      <c r="A34" s="536"/>
      <c r="B34" s="1051"/>
      <c r="C34" s="1051"/>
      <c r="D34" s="511"/>
      <c r="E34" s="686"/>
      <c r="F34" s="686"/>
      <c r="G34" s="686"/>
      <c r="H34" s="686"/>
      <c r="I34" s="1017"/>
      <c r="J34" s="536"/>
      <c r="K34" s="1058"/>
      <c r="L34" s="545"/>
      <c r="N34" s="169"/>
      <c r="O34" s="267"/>
      <c r="P34" s="267"/>
      <c r="Q34" s="267"/>
      <c r="R34" s="267"/>
      <c r="S34" s="169"/>
      <c r="T34" s="1636"/>
      <c r="U34" s="1354"/>
      <c r="V34" s="1036"/>
    </row>
    <row r="35" spans="1:22" ht="6.75" customHeight="1">
      <c r="A35" s="536"/>
      <c r="B35" s="1051"/>
      <c r="C35" s="1051"/>
      <c r="D35" s="511"/>
      <c r="E35" s="686"/>
      <c r="F35" s="686"/>
      <c r="G35" s="686"/>
      <c r="H35" s="686"/>
      <c r="I35" s="685"/>
      <c r="J35" s="536"/>
      <c r="K35" s="1058"/>
      <c r="L35" s="545"/>
      <c r="N35" s="169"/>
      <c r="O35" s="267"/>
      <c r="P35" s="267"/>
      <c r="Q35" s="267"/>
      <c r="R35" s="267"/>
      <c r="S35" s="169"/>
      <c r="T35" s="1636"/>
      <c r="U35" s="1354"/>
      <c r="V35" s="1036"/>
    </row>
    <row r="36" spans="1:22" ht="30.75" customHeight="1">
      <c r="A36" s="1603" t="s">
        <v>763</v>
      </c>
      <c r="B36" s="1603"/>
      <c r="C36" s="1603"/>
      <c r="D36" s="1603"/>
      <c r="E36" s="1603"/>
      <c r="F36" s="1603"/>
      <c r="G36" s="1603"/>
      <c r="H36" s="1603"/>
      <c r="I36" s="1603"/>
      <c r="J36" s="1603"/>
      <c r="K36" s="1603"/>
      <c r="L36" s="545"/>
      <c r="N36" s="169"/>
      <c r="O36" s="1637"/>
      <c r="P36" s="1637"/>
      <c r="Q36" s="1637"/>
      <c r="R36" s="1637"/>
      <c r="S36" s="169"/>
      <c r="T36" s="1636"/>
      <c r="U36" s="1354"/>
      <c r="V36" s="1036"/>
    </row>
    <row r="37" spans="1:22" ht="41.25" customHeight="1">
      <c r="A37" s="545"/>
      <c r="B37" s="545"/>
      <c r="C37" s="545"/>
      <c r="D37" s="545"/>
      <c r="E37" s="535"/>
      <c r="F37" s="1107" t="s">
        <v>108</v>
      </c>
      <c r="G37" s="1108" t="s">
        <v>109</v>
      </c>
      <c r="H37" s="1638" t="s">
        <v>110</v>
      </c>
      <c r="I37" s="1635"/>
      <c r="J37" s="1628" t="s">
        <v>111</v>
      </c>
      <c r="K37" s="1629"/>
      <c r="L37" s="1212"/>
      <c r="N37" s="169"/>
      <c r="O37" s="267"/>
      <c r="P37" s="267"/>
      <c r="Q37" s="267"/>
      <c r="R37" s="267"/>
      <c r="S37" s="169"/>
      <c r="T37" s="1636"/>
      <c r="U37" s="806"/>
      <c r="V37" s="1036"/>
    </row>
    <row r="38" spans="1:22" ht="39" customHeight="1">
      <c r="A38" s="575" t="s">
        <v>135</v>
      </c>
      <c r="B38" s="1120" t="s">
        <v>118</v>
      </c>
      <c r="C38" s="1593" t="s">
        <v>676</v>
      </c>
      <c r="D38" s="1593"/>
      <c r="E38" s="1594"/>
      <c r="F38" s="1109">
        <f>ROUNDUP([2]!F011CSFBL,0)</f>
        <v>2987876</v>
      </c>
      <c r="G38" s="1110">
        <f>ROUNDUP([2]!F012CSFBL,0)</f>
        <v>5975751</v>
      </c>
      <c r="H38" s="1621">
        <f>ROUNDUP([2]!F013CSFBL,0)</f>
        <v>5975751</v>
      </c>
      <c r="I38" s="1631"/>
      <c r="J38" s="1621">
        <f>ROUNDUP(SUM(F38:H38),0)</f>
        <v>14939378</v>
      </c>
      <c r="K38" s="1622"/>
      <c r="L38" s="1213"/>
      <c r="N38" s="169"/>
      <c r="O38" s="1637"/>
      <c r="P38" s="1637"/>
      <c r="Q38" s="1637"/>
      <c r="R38" s="1637"/>
      <c r="S38" s="169"/>
      <c r="T38" s="1636"/>
      <c r="U38" s="860"/>
      <c r="V38" s="1036"/>
    </row>
    <row r="39" spans="1:22" ht="44.25" customHeight="1">
      <c r="A39" s="545"/>
      <c r="B39" s="857" t="s">
        <v>120</v>
      </c>
      <c r="C39" s="1612" t="s">
        <v>667</v>
      </c>
      <c r="D39" s="1612"/>
      <c r="E39" s="1613"/>
      <c r="F39" s="1323">
        <v>2234914</v>
      </c>
      <c r="G39" s="1323">
        <v>6662960</v>
      </c>
      <c r="H39" s="1634">
        <v>4745538</v>
      </c>
      <c r="I39" s="1635"/>
      <c r="J39" s="1621">
        <f>ROUNDUP(SUM(F39:H39),0)</f>
        <v>13643412</v>
      </c>
      <c r="K39" s="1622"/>
      <c r="L39" s="1213"/>
      <c r="N39" s="169"/>
      <c r="O39" s="169"/>
      <c r="P39" s="169"/>
      <c r="Q39" s="169"/>
      <c r="R39" s="169"/>
      <c r="S39" s="169"/>
      <c r="T39" s="169"/>
      <c r="U39" s="169"/>
      <c r="V39" s="1036"/>
    </row>
    <row r="40" spans="1:22" ht="23.25" customHeight="1">
      <c r="A40" s="545"/>
      <c r="B40" s="1120" t="s">
        <v>127</v>
      </c>
      <c r="C40" s="1614" t="s">
        <v>588</v>
      </c>
      <c r="D40" s="1614"/>
      <c r="E40" s="1615"/>
      <c r="F40" s="1109">
        <f>ROUNDUP((F38-F39),0)</f>
        <v>752962</v>
      </c>
      <c r="G40" s="1109">
        <f>ROUNDUP((G38-G39),0)</f>
        <v>-687209</v>
      </c>
      <c r="H40" s="1621">
        <f>ROUNDUP((H38-H39),0)</f>
        <v>1230213</v>
      </c>
      <c r="I40" s="1631"/>
      <c r="J40" s="1621">
        <f>ROUNDUP(SUM(F40:H40),0)</f>
        <v>1295966</v>
      </c>
      <c r="K40" s="1622"/>
      <c r="L40" s="1213"/>
      <c r="N40" s="1032"/>
      <c r="O40" s="1037"/>
      <c r="P40" s="1037"/>
      <c r="Q40" s="1037"/>
      <c r="R40" s="169"/>
      <c r="S40" s="169"/>
      <c r="T40" s="349"/>
      <c r="U40" s="169"/>
      <c r="V40" s="1036"/>
    </row>
    <row r="41" spans="1:22" ht="20.25" customHeight="1">
      <c r="A41" s="545"/>
      <c r="B41" s="857" t="s">
        <v>131</v>
      </c>
      <c r="C41" s="1607" t="s">
        <v>668</v>
      </c>
      <c r="D41" s="1607"/>
      <c r="E41" s="1608"/>
      <c r="F41" s="1323">
        <v>2523</v>
      </c>
      <c r="G41" s="1323">
        <v>5046</v>
      </c>
      <c r="H41" s="1634">
        <v>5046</v>
      </c>
      <c r="I41" s="1635"/>
      <c r="J41" s="1621">
        <f>ROUNDUP(SUM(F41:H41),0)</f>
        <v>12615</v>
      </c>
      <c r="K41" s="1622"/>
      <c r="L41" s="1213"/>
      <c r="N41" s="169"/>
      <c r="O41" s="1637"/>
      <c r="P41" s="1637"/>
      <c r="Q41" s="1637"/>
      <c r="R41" s="1637"/>
      <c r="S41" s="169"/>
      <c r="T41" s="169"/>
      <c r="U41" s="169"/>
      <c r="V41" s="1036"/>
    </row>
    <row r="42" spans="1:22" ht="57.75" customHeight="1">
      <c r="A42" s="545"/>
      <c r="B42" s="857" t="s">
        <v>132</v>
      </c>
      <c r="C42" s="1609" t="s">
        <v>695</v>
      </c>
      <c r="D42" s="1609"/>
      <c r="E42" s="1610"/>
      <c r="F42" s="1233">
        <f>J42*0.2</f>
        <v>3208244.99</v>
      </c>
      <c r="G42" s="1234">
        <f>J42*0.4</f>
        <v>6416489.98</v>
      </c>
      <c r="H42" s="1632">
        <f>J42*0.4</f>
        <v>6416489.98</v>
      </c>
      <c r="I42" s="1633"/>
      <c r="J42" s="1642">
        <v>16041224.95</v>
      </c>
      <c r="K42" s="1643"/>
      <c r="L42" s="1214"/>
      <c r="N42" s="169"/>
      <c r="O42" s="1637"/>
      <c r="P42" s="1637"/>
      <c r="Q42" s="1637"/>
      <c r="R42" s="1637"/>
      <c r="S42" s="169"/>
      <c r="T42" s="349"/>
      <c r="U42" s="860"/>
      <c r="V42" s="1036"/>
    </row>
    <row r="43" spans="1:22" ht="29.25" customHeight="1">
      <c r="A43" s="535"/>
      <c r="B43" s="857" t="s">
        <v>133</v>
      </c>
      <c r="C43" s="1612" t="s">
        <v>650</v>
      </c>
      <c r="D43" s="1612"/>
      <c r="E43" s="1613"/>
      <c r="F43" s="1111"/>
      <c r="G43" s="1112"/>
      <c r="H43" s="1619"/>
      <c r="I43" s="1620"/>
      <c r="J43" s="1621">
        <f>SUM(F43:H43)</f>
        <v>0</v>
      </c>
      <c r="K43" s="1622"/>
      <c r="L43" s="1214"/>
      <c r="N43" s="1033"/>
      <c r="O43" s="825"/>
      <c r="P43" s="805"/>
      <c r="Q43" s="805"/>
      <c r="R43" s="805"/>
      <c r="S43" s="331"/>
      <c r="T43" s="866"/>
      <c r="U43" s="728"/>
      <c r="V43" s="1036"/>
    </row>
    <row r="44" spans="1:22" ht="12.75" customHeight="1">
      <c r="A44" s="535"/>
      <c r="B44" s="545"/>
      <c r="C44" s="1118"/>
      <c r="D44" s="1119"/>
      <c r="E44" s="1119"/>
      <c r="F44" s="596"/>
      <c r="G44" s="1113"/>
      <c r="H44" s="1114"/>
      <c r="I44" s="1052"/>
      <c r="J44" s="865"/>
      <c r="K44" s="1114"/>
      <c r="L44" s="1115"/>
      <c r="N44" s="1033"/>
      <c r="O44" s="331"/>
      <c r="P44" s="1491"/>
      <c r="Q44" s="1491"/>
      <c r="R44" s="1491"/>
      <c r="S44" s="331"/>
      <c r="T44" s="866"/>
      <c r="U44" s="728"/>
      <c r="V44" s="1036"/>
    </row>
    <row r="45" spans="1:22" ht="26.25" customHeight="1" thickBot="1">
      <c r="A45" s="535"/>
      <c r="B45" s="1120" t="s">
        <v>134</v>
      </c>
      <c r="C45" s="1593" t="s">
        <v>651</v>
      </c>
      <c r="D45" s="1593"/>
      <c r="E45" s="1594"/>
      <c r="F45" s="1116">
        <f>ROUNDUP(SUM(F40:F43),0)</f>
        <v>3963730</v>
      </c>
      <c r="G45" s="1117">
        <f>ROUNDUP(SUM(G40:G43),0)</f>
        <v>5734327</v>
      </c>
      <c r="H45" s="1625">
        <f>ROUNDUP(SUM(H40:I43),0)</f>
        <v>7651749</v>
      </c>
      <c r="I45" s="1627"/>
      <c r="J45" s="1625">
        <f>ROUNDUP(SUM(J40:J43),0)</f>
        <v>17349806</v>
      </c>
      <c r="K45" s="1626"/>
      <c r="L45" s="1213"/>
      <c r="N45" s="602"/>
      <c r="O45" s="865"/>
      <c r="P45" s="602"/>
      <c r="Q45" s="602"/>
      <c r="R45" s="331"/>
      <c r="S45" s="331"/>
      <c r="T45" s="866"/>
      <c r="U45" s="728"/>
      <c r="V45" s="1036"/>
    </row>
    <row r="46" spans="1:22" ht="14.25" customHeight="1" thickTop="1">
      <c r="A46" s="535"/>
      <c r="B46" s="545"/>
      <c r="C46" s="545"/>
      <c r="D46" s="545"/>
      <c r="E46" s="545"/>
      <c r="F46" s="545"/>
      <c r="G46" s="545"/>
      <c r="H46" s="545"/>
      <c r="I46" s="545"/>
      <c r="J46" s="545"/>
      <c r="K46" s="545"/>
      <c r="L46" s="545"/>
      <c r="N46" s="709"/>
      <c r="O46" s="709"/>
      <c r="P46" s="709"/>
      <c r="Q46" s="709"/>
      <c r="R46" s="709"/>
      <c r="S46" s="709"/>
      <c r="T46" s="709"/>
      <c r="U46" s="709"/>
      <c r="V46" s="1036"/>
    </row>
    <row r="47" spans="1:22" ht="8.25" customHeight="1">
      <c r="A47" s="535"/>
      <c r="B47" s="545"/>
      <c r="C47" s="545"/>
      <c r="D47" s="545"/>
      <c r="E47" s="545"/>
      <c r="F47" s="545"/>
      <c r="G47" s="545"/>
      <c r="H47" s="545"/>
      <c r="I47" s="545"/>
      <c r="J47" s="545"/>
      <c r="K47" s="573"/>
      <c r="L47" s="545"/>
      <c r="N47" s="1037"/>
      <c r="O47" s="821"/>
      <c r="P47" s="709"/>
      <c r="Q47" s="709"/>
      <c r="R47" s="1038"/>
      <c r="S47" s="728"/>
      <c r="T47" s="1560"/>
      <c r="U47" s="1560"/>
      <c r="V47" s="827"/>
    </row>
    <row r="48" spans="1:22" ht="15" customHeight="1">
      <c r="A48" s="1121" t="s">
        <v>288</v>
      </c>
      <c r="B48" s="1059" t="s">
        <v>353</v>
      </c>
      <c r="C48" s="1059"/>
      <c r="D48" s="545"/>
      <c r="E48" s="545"/>
      <c r="F48" s="545"/>
      <c r="G48" s="1060"/>
      <c r="H48" s="1060"/>
      <c r="I48" s="1060"/>
      <c r="J48" s="1060"/>
      <c r="K48" s="1060"/>
      <c r="L48" s="545"/>
      <c r="N48" s="790"/>
      <c r="O48" s="721"/>
      <c r="P48" s="1639"/>
      <c r="Q48" s="1639"/>
      <c r="R48" s="720"/>
      <c r="S48" s="728"/>
      <c r="T48" s="1560"/>
      <c r="U48" s="1560"/>
      <c r="V48" s="714"/>
    </row>
    <row r="49" spans="1:22" ht="12.75">
      <c r="A49" s="1121" t="s">
        <v>289</v>
      </c>
      <c r="B49" s="1059" t="s">
        <v>392</v>
      </c>
      <c r="C49" s="1059"/>
      <c r="D49" s="545"/>
      <c r="E49" s="545"/>
      <c r="F49" s="545"/>
      <c r="G49" s="545"/>
      <c r="H49" s="545"/>
      <c r="I49" s="545"/>
      <c r="J49" s="545"/>
      <c r="K49" s="545"/>
      <c r="L49" s="545"/>
      <c r="N49" s="721"/>
      <c r="O49" s="723"/>
      <c r="P49" s="723"/>
      <c r="Q49" s="723"/>
      <c r="R49" s="721"/>
      <c r="S49" s="721"/>
      <c r="T49" s="721"/>
      <c r="U49" s="721"/>
      <c r="V49" s="714"/>
    </row>
    <row r="50" spans="1:22" ht="12.75">
      <c r="A50" s="1121" t="s">
        <v>290</v>
      </c>
      <c r="B50" s="535" t="s">
        <v>622</v>
      </c>
      <c r="C50" s="545"/>
      <c r="D50" s="545"/>
      <c r="E50" s="545"/>
      <c r="F50" s="545"/>
      <c r="G50" s="545"/>
      <c r="H50" s="545"/>
      <c r="I50" s="545"/>
      <c r="J50" s="545"/>
      <c r="K50" s="545"/>
      <c r="L50" s="545"/>
      <c r="N50" s="721"/>
      <c r="O50" s="721"/>
      <c r="P50" s="721"/>
      <c r="Q50" s="721"/>
      <c r="R50" s="721"/>
      <c r="S50" s="721"/>
      <c r="T50" s="721"/>
      <c r="U50" s="721"/>
      <c r="V50" s="714"/>
    </row>
    <row r="51" spans="1:22" ht="15.75">
      <c r="A51" s="1210"/>
      <c r="B51" s="1211"/>
      <c r="C51" s="1211"/>
      <c r="D51" s="1211"/>
      <c r="E51" s="1211"/>
      <c r="F51" s="1211"/>
      <c r="G51" s="1211"/>
      <c r="H51" s="1211"/>
      <c r="I51" s="1211"/>
      <c r="J51" s="1211"/>
      <c r="K51" s="1211"/>
      <c r="L51" s="1211"/>
      <c r="M51" s="497"/>
      <c r="N51" s="497"/>
      <c r="O51" s="497"/>
      <c r="P51" s="497"/>
      <c r="Q51" s="497"/>
      <c r="R51" s="497"/>
      <c r="S51" s="497"/>
      <c r="T51" s="497"/>
      <c r="U51" s="497"/>
      <c r="V51" s="497"/>
    </row>
    <row r="52" spans="1:22" ht="12.75">
      <c r="A52" s="497"/>
      <c r="B52" s="497"/>
      <c r="C52" s="497"/>
      <c r="D52" s="497"/>
      <c r="E52" s="497"/>
      <c r="F52" s="497"/>
      <c r="G52" s="497"/>
      <c r="H52" s="497"/>
      <c r="I52" s="497"/>
      <c r="J52" s="497"/>
      <c r="K52" s="497"/>
      <c r="L52" s="497"/>
      <c r="M52" s="497"/>
      <c r="N52" s="497"/>
      <c r="O52" s="497"/>
      <c r="P52" s="497"/>
      <c r="Q52" s="497"/>
      <c r="R52" s="497"/>
      <c r="S52" s="497"/>
      <c r="T52" s="497"/>
      <c r="U52" s="497"/>
      <c r="V52" s="497"/>
    </row>
    <row r="53" spans="1:22" ht="12.75">
      <c r="A53" s="98"/>
      <c r="B53" s="98"/>
      <c r="C53" s="98"/>
      <c r="D53" s="497"/>
      <c r="E53" s="497"/>
      <c r="F53" s="497"/>
      <c r="G53" s="497"/>
      <c r="H53" s="497"/>
      <c r="I53" s="497"/>
      <c r="J53" s="497"/>
      <c r="K53" s="497"/>
      <c r="L53" s="497"/>
      <c r="M53" s="497"/>
      <c r="N53" s="497"/>
      <c r="O53" s="497"/>
      <c r="P53" s="497"/>
      <c r="Q53" s="497"/>
      <c r="R53" s="497"/>
      <c r="S53" s="497"/>
      <c r="T53" s="497"/>
      <c r="U53" s="497"/>
      <c r="V53" s="497"/>
    </row>
    <row r="54" spans="1:22" ht="15">
      <c r="A54" s="1039"/>
      <c r="B54" s="1623"/>
      <c r="C54" s="1623"/>
      <c r="D54" s="1624"/>
      <c r="E54" s="1624"/>
      <c r="F54" s="497"/>
      <c r="G54" s="497"/>
      <c r="H54" s="497"/>
      <c r="I54" s="497"/>
      <c r="J54" s="497"/>
      <c r="K54" s="497"/>
      <c r="L54" s="497"/>
      <c r="M54" s="497"/>
      <c r="N54" s="497"/>
      <c r="O54" s="497"/>
      <c r="P54" s="497"/>
      <c r="Q54" s="497"/>
      <c r="R54" s="497"/>
      <c r="S54" s="497"/>
      <c r="T54" s="497"/>
      <c r="U54" s="497"/>
      <c r="V54" s="497"/>
    </row>
    <row r="55" spans="1:15" ht="15">
      <c r="A55" s="1040"/>
      <c r="B55" s="1630"/>
      <c r="C55" s="1630"/>
      <c r="D55" s="1624"/>
      <c r="E55" s="1624"/>
      <c r="F55" s="497"/>
      <c r="G55" s="497"/>
      <c r="H55" s="497"/>
      <c r="I55" s="497"/>
      <c r="J55" s="497"/>
      <c r="K55" s="497"/>
      <c r="L55" s="497"/>
      <c r="M55" s="497"/>
      <c r="N55" s="497"/>
      <c r="O55" s="497"/>
    </row>
    <row r="56" spans="1:15" ht="15">
      <c r="A56" s="1040"/>
      <c r="B56" s="1630"/>
      <c r="C56" s="1630"/>
      <c r="D56" s="1624"/>
      <c r="E56" s="1624"/>
      <c r="F56" s="497"/>
      <c r="G56" s="497"/>
      <c r="H56" s="497"/>
      <c r="I56" s="497"/>
      <c r="J56" s="497"/>
      <c r="K56" s="497"/>
      <c r="L56" s="497"/>
      <c r="M56" s="497"/>
      <c r="N56" s="497"/>
      <c r="O56" s="497"/>
    </row>
    <row r="57" spans="1:15" ht="15">
      <c r="A57" s="1040"/>
      <c r="B57" s="635"/>
      <c r="C57" s="635"/>
      <c r="D57" s="636"/>
      <c r="E57" s="636"/>
      <c r="F57" s="497"/>
      <c r="G57" s="497"/>
      <c r="H57" s="497"/>
      <c r="I57" s="497"/>
      <c r="J57" s="497"/>
      <c r="K57" s="497"/>
      <c r="L57" s="497"/>
      <c r="M57" s="497"/>
      <c r="N57" s="497"/>
      <c r="O57" s="497"/>
    </row>
    <row r="58" spans="1:15" ht="15">
      <c r="A58" s="1040"/>
      <c r="B58" s="1623"/>
      <c r="C58" s="1623"/>
      <c r="D58" s="1624"/>
      <c r="E58" s="1624"/>
      <c r="F58" s="497"/>
      <c r="G58" s="497"/>
      <c r="H58" s="497"/>
      <c r="I58" s="497"/>
      <c r="J58" s="497"/>
      <c r="K58" s="497"/>
      <c r="L58" s="497"/>
      <c r="M58" s="497"/>
      <c r="N58" s="497"/>
      <c r="O58" s="497"/>
    </row>
    <row r="59" spans="1:15" ht="15">
      <c r="A59" s="1040"/>
      <c r="B59" s="1623"/>
      <c r="C59" s="1623"/>
      <c r="D59" s="1624"/>
      <c r="E59" s="1624"/>
      <c r="F59" s="497"/>
      <c r="G59" s="497"/>
      <c r="H59" s="497"/>
      <c r="I59" s="497"/>
      <c r="J59" s="497"/>
      <c r="K59" s="497"/>
      <c r="L59" s="497"/>
      <c r="M59" s="497"/>
      <c r="N59" s="497"/>
      <c r="O59" s="497"/>
    </row>
    <row r="60" spans="1:15" ht="12.75" customHeight="1">
      <c r="A60" s="1039"/>
      <c r="B60" s="497"/>
      <c r="C60" s="497"/>
      <c r="D60" s="497"/>
      <c r="E60" s="497"/>
      <c r="F60" s="497"/>
      <c r="G60" s="497"/>
      <c r="H60" s="497"/>
      <c r="I60" s="497"/>
      <c r="J60" s="497"/>
      <c r="K60" s="497"/>
      <c r="L60" s="497"/>
      <c r="M60" s="497"/>
      <c r="N60" s="497"/>
      <c r="O60" s="497"/>
    </row>
    <row r="61" spans="1:15" ht="15">
      <c r="A61" s="1040"/>
      <c r="B61" s="1623"/>
      <c r="C61" s="1623"/>
      <c r="D61" s="1624"/>
      <c r="E61" s="1624"/>
      <c r="F61" s="497"/>
      <c r="G61" s="497"/>
      <c r="H61" s="497"/>
      <c r="I61" s="497"/>
      <c r="J61" s="497"/>
      <c r="K61" s="497"/>
      <c r="L61" s="497"/>
      <c r="M61" s="497"/>
      <c r="N61" s="497"/>
      <c r="O61" s="497"/>
    </row>
    <row r="62" spans="1:15" ht="15">
      <c r="A62" s="1040"/>
      <c r="B62" s="497"/>
      <c r="C62" s="497"/>
      <c r="D62" s="497"/>
      <c r="E62" s="613"/>
      <c r="F62" s="596"/>
      <c r="G62" s="596"/>
      <c r="H62" s="596"/>
      <c r="I62" s="614"/>
      <c r="J62" s="596"/>
      <c r="K62" s="615"/>
      <c r="L62" s="596"/>
      <c r="M62" s="497"/>
      <c r="N62" s="497"/>
      <c r="O62" s="497"/>
    </row>
    <row r="63" spans="1:15" ht="15">
      <c r="A63" s="1040"/>
      <c r="B63" s="1617"/>
      <c r="C63" s="1617"/>
      <c r="D63" s="1618"/>
      <c r="E63" s="1618"/>
      <c r="F63" s="1618"/>
      <c r="G63" s="1618"/>
      <c r="H63" s="1618"/>
      <c r="I63" s="1618"/>
      <c r="J63" s="1618"/>
      <c r="K63" s="1618"/>
      <c r="L63" s="1618"/>
      <c r="M63" s="497"/>
      <c r="N63" s="497"/>
      <c r="O63" s="497"/>
    </row>
    <row r="64" spans="1:15" ht="15">
      <c r="A64" s="1045"/>
      <c r="B64" s="534"/>
      <c r="C64" s="534"/>
      <c r="D64" s="865"/>
      <c r="E64" s="865"/>
      <c r="F64" s="865"/>
      <c r="G64" s="865"/>
      <c r="H64" s="865"/>
      <c r="I64" s="865"/>
      <c r="J64" s="865"/>
      <c r="K64" s="865"/>
      <c r="L64" s="497"/>
      <c r="M64" s="497"/>
      <c r="N64" s="497"/>
      <c r="O64" s="497"/>
    </row>
    <row r="65" spans="14:15" ht="12.75">
      <c r="N65" s="497"/>
      <c r="O65" s="497"/>
    </row>
    <row r="66" spans="14:15" ht="12.75">
      <c r="N66" s="497"/>
      <c r="O66" s="497"/>
    </row>
    <row r="67" spans="14:15" ht="12.75">
      <c r="N67" s="497"/>
      <c r="O67" s="497"/>
    </row>
    <row r="68" spans="14:15" ht="12.75">
      <c r="N68" s="497"/>
      <c r="O68" s="497"/>
    </row>
    <row r="125" spans="1:12" ht="12.75">
      <c r="A125" s="84"/>
      <c r="L125" s="84"/>
    </row>
  </sheetData>
  <sheetProtection sheet="1" formatCells="0" formatColumns="0" formatRows="0"/>
  <mergeCells count="59">
    <mergeCell ref="C15:H15"/>
    <mergeCell ref="C16:H16"/>
    <mergeCell ref="H38:I38"/>
    <mergeCell ref="H37:I37"/>
    <mergeCell ref="H39:I39"/>
    <mergeCell ref="P48:Q48"/>
    <mergeCell ref="N29:V31"/>
    <mergeCell ref="J42:K42"/>
    <mergeCell ref="J41:K41"/>
    <mergeCell ref="J40:K40"/>
    <mergeCell ref="T47:U47"/>
    <mergeCell ref="U33:U36"/>
    <mergeCell ref="T33:T36"/>
    <mergeCell ref="O36:R36"/>
    <mergeCell ref="T48:U48"/>
    <mergeCell ref="O38:R38"/>
    <mergeCell ref="T37:T38"/>
    <mergeCell ref="O41:R41"/>
    <mergeCell ref="O42:R42"/>
    <mergeCell ref="P44:R44"/>
    <mergeCell ref="J39:K39"/>
    <mergeCell ref="J38:K38"/>
    <mergeCell ref="J37:K37"/>
    <mergeCell ref="B55:E55"/>
    <mergeCell ref="B56:E56"/>
    <mergeCell ref="B58:E58"/>
    <mergeCell ref="H40:I40"/>
    <mergeCell ref="H42:I42"/>
    <mergeCell ref="H41:I41"/>
    <mergeCell ref="B63:L63"/>
    <mergeCell ref="H43:I43"/>
    <mergeCell ref="J43:K43"/>
    <mergeCell ref="B59:E59"/>
    <mergeCell ref="B61:E61"/>
    <mergeCell ref="J45:K45"/>
    <mergeCell ref="C45:E45"/>
    <mergeCell ref="B54:E54"/>
    <mergeCell ref="H45:I45"/>
    <mergeCell ref="C43:E43"/>
    <mergeCell ref="E28:G28"/>
    <mergeCell ref="C12:H12"/>
    <mergeCell ref="C13:H13"/>
    <mergeCell ref="K17:K18"/>
    <mergeCell ref="C41:E41"/>
    <mergeCell ref="C42:E42"/>
    <mergeCell ref="C22:H22"/>
    <mergeCell ref="C39:E39"/>
    <mergeCell ref="C40:E40"/>
    <mergeCell ref="C14:H14"/>
    <mergeCell ref="K22:K23"/>
    <mergeCell ref="C38:E38"/>
    <mergeCell ref="C8:H8"/>
    <mergeCell ref="C17:H17"/>
    <mergeCell ref="A3:K4"/>
    <mergeCell ref="K7:K8"/>
    <mergeCell ref="C10:H10"/>
    <mergeCell ref="C11:H11"/>
    <mergeCell ref="A36:K36"/>
    <mergeCell ref="D24:G24"/>
  </mergeCells>
  <dataValidations count="5">
    <dataValidation type="whole" operator="lessThanOrEqual" allowBlank="1" showInputMessage="1" showErrorMessage="1" promptTitle="Reductions/Decreases" prompt="Enter reductions/decreases as negative amounts." sqref="U37">
      <formula1>0</formula1>
    </dataValidation>
    <dataValidation type="whole" operator="lessThanOrEqual" allowBlank="1" showInputMessage="1" showErrorMessage="1" prompt="This amount must be negative." sqref="U38 U43">
      <formula1>0</formula1>
    </dataValidation>
    <dataValidation allowBlank="1" showInputMessage="1" showErrorMessage="1" prompt="If negative, enter amount in parentheses." sqref="F43:I43"/>
    <dataValidation allowBlank="1" showInputMessage="1" showErrorMessage="1" prompt="Enter negative amount in parentheses." sqref="K27:K28"/>
    <dataValidation type="whole" operator="lessThanOrEqual" allowBlank="1" showInputMessage="1" showErrorMessage="1" prompt="This amount must be negative. Enter amount in parentheses." sqref="K24 K26">
      <formula1>0</formula1>
    </dataValidation>
  </dataValidations>
  <hyperlinks>
    <hyperlink ref="B9" location="Page8lA2" display="2."/>
    <hyperlink ref="B20" location="Page8lA9" display="9."/>
    <hyperlink ref="B22" location="Page8lA10" display="10."/>
    <hyperlink ref="B15" location="Page8lA6" display="6."/>
    <hyperlink ref="B19" location="Page8lA8" display="8."/>
    <hyperlink ref="B11" location="Page8lA3" display="3."/>
    <hyperlink ref="B41" location="Page8lB4" display="4."/>
    <hyperlink ref="B39" location="Page8lB2" display="2."/>
    <hyperlink ref="B43" location="Page8lB6" display="6."/>
    <hyperlink ref="B42" location="Page8lB5" display="5."/>
  </hyperlinks>
  <printOptions horizontalCentered="1"/>
  <pageMargins left="0.25" right="0.25" top="0.25" bottom="0.25" header="0" footer="0.25"/>
  <pageSetup fitToHeight="1" fitToWidth="1" horizontalDpi="600" verticalDpi="600" orientation="landscape" paperSize="5" scale="68" r:id="rId2"/>
  <headerFooter alignWithMargins="0">
    <oddFooter>&amp;C&amp;A</oddFooter>
  </headerFooter>
  <colBreaks count="1" manualBreakCount="1">
    <brk id="13" max="65535" man="1"/>
  </colBreaks>
  <ignoredErrors>
    <ignoredError sqref="B2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azauditor</dc:creator>
  <cp:keywords/>
  <dc:description/>
  <cp:lastModifiedBy>Pat Donohue</cp:lastModifiedBy>
  <cp:lastPrinted>2018-11-07T15:34:27Z</cp:lastPrinted>
  <dcterms:created xsi:type="dcterms:W3CDTF">1998-03-25T18:01:19Z</dcterms:created>
  <dcterms:modified xsi:type="dcterms:W3CDTF">2018-11-07T15:44:15Z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1</vt:lpwstr>
  </property>
  <property fmtid="{D5CDD505-2E9C-101B-9397-08002B2CF9AE}" pid="4" name="SchoolBySchool">
    <vt:lpwstr>0</vt:lpwstr>
  </property>
  <property fmtid="{D5CDD505-2E9C-101B-9397-08002B2CF9AE}" pid="5" name="Password">
    <vt:lpwstr>43014EB</vt:lpwstr>
  </property>
</Properties>
</file>