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615" activeTab="0"/>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Data Entry" sheetId="8" r:id="rId8"/>
    <sheet name="Calculations" sheetId="9" r:id="rId9"/>
    <sheet name="CHAR55" sheetId="10" r:id="rId10"/>
    <sheet name="Instructions" sheetId="11" r:id="rId11"/>
  </sheets>
  <externalReferences>
    <externalReference r:id="rId14"/>
    <externalReference r:id="rId15"/>
    <externalReference r:id="rId16"/>
  </externalReferences>
  <definedNames>
    <definedName name="_Order1" hidden="1">255</definedName>
    <definedName name="_xlfn._FV" hidden="1">#NAME?</definedName>
    <definedName name="ActAuditExpend">'Data Entry'!$C$71</definedName>
    <definedName name="AdditionalTeacherSalaryIncreaseCover" localSheetId="9">Incr200Days</definedName>
    <definedName name="AdditionalTeacherSalaryIncreaseLine1" localSheetId="9">'Instructions'!#REF!</definedName>
    <definedName name="AdditionalTeacherSalaryIncreaseLine2" localSheetId="9">'Instructions'!#REF!</definedName>
    <definedName name="AdditionalTeacherSalaryIncreaseLine2">'Instructions'!#REF!</definedName>
    <definedName name="AdditionalTeacherSalaryIncreaseLine3" localSheetId="9">'Instructions'!#REF!</definedName>
    <definedName name="AdditionalTeacherSalaryIncreaseLine4" localSheetId="9">'Instructions'!#REF!</definedName>
    <definedName name="AdditionalTeacherSalaryIncreaseLine6" localSheetId="9">'Instructions'!#REF!</definedName>
    <definedName name="AdditionalTeacherSalaryIncreaseLine7" localSheetId="9">'Instructions'!#REF!</definedName>
    <definedName name="AdditionalTeacherSalaryIncreaseLine8" localSheetId="9">'Instructions'!#REF!</definedName>
    <definedName name="AdjWaysLevy">'[2]Page 5'!$E$28</definedName>
    <definedName name="AverageSalaryCalculationComment">'Cover'!$L$36</definedName>
    <definedName name="AverageTeacherSalaries">'Instructions'!$C$6</definedName>
    <definedName name="BudgetSummary">'Instructions'!$C$28</definedName>
    <definedName name="BudgetYearADM">'[2]Summary Page 1'!$D$12</definedName>
    <definedName name="BudgetYearSalary" localSheetId="8">'[2]Cover'!$S$31</definedName>
    <definedName name="BudgetYearSalary" localSheetId="9">'[2]Cover'!$S$31</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harterHolderTotalCharterSchoolCounts">'Instructions'!#REF!</definedName>
    <definedName name="Check_box_if_the_district_has_been_approved_to_provide_200_days_of_instruction_by_ADE.__A.R.S._§15_902.04">Inc200Days</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FBLBudgFY">'[2]Page 8'!$J$45</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 localSheetId="8">'[2]Cover'!$Q$1</definedName>
    <definedName name="CTD" localSheetId="9">'[2]Cover'!$Q$1</definedName>
    <definedName name="CTD">'Cover'!$R$1</definedName>
    <definedName name="CTDSNumber">'Instructions'!$C$3</definedName>
    <definedName name="DataEntry_CheckBoxes">'Instructions'!#REF!</definedName>
    <definedName name="DaysOfInstruction">'Instructions'!#REF!</definedName>
    <definedName name="DecreaseforFedandStateMonies">'Data Entry'!$C$62</definedName>
    <definedName name="EmployeeBenefits">'Instructions'!$C$2</definedName>
    <definedName name="EstimatedRevenues">'Instructions'!$C$5</definedName>
    <definedName name="EstTaxRateBudgFY">'[2]Cover'!$Q$13</definedName>
    <definedName name="F001P100F1000O6100">'[2]Page 1'!$F$8</definedName>
    <definedName name="F001P100F1000O6200">'[2]Page 1'!$G$8</definedName>
    <definedName name="F001P100F1000O630064006500">'[2]Page 1'!$H$8</definedName>
    <definedName name="F001P100F1000O6600">'[2]Page 1'!$I$8</definedName>
    <definedName name="F001P100F1000O6800">'[2]Page 1'!$J$8</definedName>
    <definedName name="F001P100F2100O6100">'[2]Page 1'!$F$10</definedName>
    <definedName name="F001P100F2100O6200">'[2]Page 1'!$G$10</definedName>
    <definedName name="F001P100F2100O630064006500">'[2]Page 1'!$H$10</definedName>
    <definedName name="F001P100F2100O6600">'[2]Page 1'!$I$10</definedName>
    <definedName name="F001P100F2100O6800">'[2]Page 1'!$J$10</definedName>
    <definedName name="F001P100F2200O6100">'[2]Page 1'!$F$11</definedName>
    <definedName name="F001P100F2200O6200">'[2]Page 1'!$G$11</definedName>
    <definedName name="F001P100F2200O630064006500">'[2]Page 1'!$H$11</definedName>
    <definedName name="F001P100F2200O6600">'[2]Page 1'!$I$11</definedName>
    <definedName name="F001P100F2200O6800">'[2]Page 1'!$J$11</definedName>
    <definedName name="F001P100F2300O6100">'[2]Page 1'!$F$12</definedName>
    <definedName name="F001P100F2300O6200">'[2]Page 1'!$G$12</definedName>
    <definedName name="F001P100F2300O630064006500">'[2]Page 1'!$H$12</definedName>
    <definedName name="F001P100F2300O6600">'[2]Page 1'!$I$12</definedName>
    <definedName name="F001P100F2300O6800">'[2]Page 1'!$J$12</definedName>
    <definedName name="F001P100F2400O6100">'[2]Page 1'!$F$13</definedName>
    <definedName name="F001P100F2400O6200">'[2]Page 1'!$G$13</definedName>
    <definedName name="F001P100F2400O630064006500">'[2]Page 1'!$H$13</definedName>
    <definedName name="F001P100F2400O6600">'[2]Page 1'!$I$13</definedName>
    <definedName name="F001P100F2400O6800">'[2]Page 1'!$J$13</definedName>
    <definedName name="F001P100F2500O6100">'[2]Page 1'!$F$14</definedName>
    <definedName name="F001P100F2500O6200">'[2]Page 1'!$G$14</definedName>
    <definedName name="F001P100F2500O630064006500">'[2]Page 1'!$H$14</definedName>
    <definedName name="F001P100F2500O6600">'[2]Page 1'!$I$14</definedName>
    <definedName name="F001P100F2500O6800">'[2]Page 1'!$J$14</definedName>
    <definedName name="F001P100F2600O6100">'[2]Page 1'!$F$15</definedName>
    <definedName name="F001P100F2600O6200">'[2]Page 1'!$G$15</definedName>
    <definedName name="F001P100F2600O630064006500">'[2]Page 1'!$H$15</definedName>
    <definedName name="F001P100F2600O6600">'[2]Page 1'!$I$15</definedName>
    <definedName name="F001P100F2600O6800">'[2]Page 1'!$J$15</definedName>
    <definedName name="F001P100F2900O6100">'[2]Page 1'!$F$16</definedName>
    <definedName name="F001P100F2900O6200">'[2]Page 1'!$G$16</definedName>
    <definedName name="F001P100F2900O630064006500">'[2]Page 1'!$H$16</definedName>
    <definedName name="F001P100F2900O6600">'[2]Page 1'!$I$16</definedName>
    <definedName name="F001P100F2900O6800">'[2]Page 1'!$J$16</definedName>
    <definedName name="F001P100F3000O6100">'[2]Page 1'!$F$17</definedName>
    <definedName name="F001P100F3000O6200">'[2]Page 1'!$G$17</definedName>
    <definedName name="F001P100F3000O630064006500">'[2]Page 1'!$H$17</definedName>
    <definedName name="F001P100F3000O6600">'[2]Page 1'!$I$17</definedName>
    <definedName name="F001P100F3000O6800">'[2]Page 1'!$J$17</definedName>
    <definedName name="F001P200F1000O6100">'[2]Page 1'!$F$24</definedName>
    <definedName name="F001P200F1000O6200">'[2]Page 1'!$G$24</definedName>
    <definedName name="F001P200F1000O630064006500">'[2]Page 1'!$H$24</definedName>
    <definedName name="F001P200F1000O6600">'[2]Page 1'!$I$24</definedName>
    <definedName name="F001P200F1000O6800">'[2]Page 1'!$J$24</definedName>
    <definedName name="F001P200F2100O6100">'[2]Page 1'!$F$26</definedName>
    <definedName name="F001P200F2100O6200">'[2]Page 1'!$G$26</definedName>
    <definedName name="F001P200F2100O630064006500">'[2]Page 1'!$H$26</definedName>
    <definedName name="F001P200F2100O6600">'[2]Page 1'!$I$26</definedName>
    <definedName name="F001P200F2100O6800">'[2]Page 1'!$J$26</definedName>
    <definedName name="F001P200F2200O6100">'[2]Page 1'!$F$27</definedName>
    <definedName name="F001P200F2200O6200">'[2]Page 1'!$G$27</definedName>
    <definedName name="F001P200F2200O630064006500">'[2]Page 1'!$H$27</definedName>
    <definedName name="F001P200F2200O6600">'[2]Page 1'!$I$27</definedName>
    <definedName name="F001P200F2200O6800">'[2]Page 1'!$J$27</definedName>
    <definedName name="F001P200F2300O6100">'[2]Page 1'!$F$28</definedName>
    <definedName name="F001P200F2300O6200">'[2]Page 1'!$G$28</definedName>
    <definedName name="F001P200F2300O630064006500">'[2]Page 1'!$H$28</definedName>
    <definedName name="F001P200F2300O6600">'[2]Page 1'!$I$28</definedName>
    <definedName name="F001P200F2300O6800">'[2]Page 1'!$J$28</definedName>
    <definedName name="F001P200F2400O6100">'[2]Page 1'!$F$29</definedName>
    <definedName name="F001P200F2400O6200">'[2]Page 1'!$G$29</definedName>
    <definedName name="F001P200F2400O630064006500">'[2]Page 1'!$H$29</definedName>
    <definedName name="F001P200F2400O6600">'[2]Page 1'!$I$29</definedName>
    <definedName name="F001P200F2400O6800">'[2]Page 1'!$J$29</definedName>
    <definedName name="F001P200F2500O6100">'[2]Page 1'!$F$30</definedName>
    <definedName name="F001P200F2500O6200">'[2]Page 1'!$G$30</definedName>
    <definedName name="F001P200F2500O630064006500">'[2]Page 1'!$H$30</definedName>
    <definedName name="F001P200F2500O6600">'[2]Page 1'!$I$30</definedName>
    <definedName name="F001P200F2500O6800">'[2]Page 1'!$J$30</definedName>
    <definedName name="F001P200F2600O6100">'[2]Page 1'!$F$31</definedName>
    <definedName name="F001P200F2600O6200">'[2]Page 1'!$G$31</definedName>
    <definedName name="F001P200F2600O630064006500">'[2]Page 1'!$H$31</definedName>
    <definedName name="F001P200F2600O6600">'[2]Page 1'!$I$31</definedName>
    <definedName name="F001P200F2600O6800">'[2]Page 1'!$J$31</definedName>
    <definedName name="F001P200F2900O6100">'[2]Page 1'!$F$32</definedName>
    <definedName name="F001P200F2900O6200">'[2]Page 1'!$G$32</definedName>
    <definedName name="F001P200F2900O630064006500">'[2]Page 1'!$H$32</definedName>
    <definedName name="F001P200F2900O6600">'[2]Page 1'!$I$32</definedName>
    <definedName name="F001P200F2900O6800">'[2]Page 1'!$J$32</definedName>
    <definedName name="F001P200F3000O6100">'[2]Page 1'!$F$33</definedName>
    <definedName name="F001P200F3000O6200">'[2]Page 1'!$G$33</definedName>
    <definedName name="F001P200F3000O630064006500">'[2]Page 1'!$H$33</definedName>
    <definedName name="F001P200F3000O6600">'[2]Page 1'!$I$33</definedName>
    <definedName name="F001P200F3000O6800">'[2]Page 1'!$J$33</definedName>
    <definedName name="F001P200PYDisabilityTot">'[2]Page 2'!$F$7</definedName>
    <definedName name="F001P200Subtotal">'[2]Page 2'!$G$7</definedName>
    <definedName name="F001P200TotBudgFY">'[2]Page 1'!$L$34</definedName>
    <definedName name="F001P400O6100">'[2]Page 1'!$F$35</definedName>
    <definedName name="F001P400O6200">'[2]Page 1'!$G$35</definedName>
    <definedName name="F001P400O630064006500">'[2]Page 1'!$H$35</definedName>
    <definedName name="F001P400O6600">'[2]Page 1'!$I$35</definedName>
    <definedName name="F001P400O6800">'[2]Page 1'!$J$35</definedName>
    <definedName name="F001P510O6100">'[2]Page 1'!$F$36</definedName>
    <definedName name="F001P510O6200">'[2]Page 1'!$G$36</definedName>
    <definedName name="F001P510O630064006500">'[2]Page 1'!$H$36</definedName>
    <definedName name="F001P510O6600">'[2]Page 1'!$I$36</definedName>
    <definedName name="F001P510O6800">'[2]Page 1'!$J$36</definedName>
    <definedName name="F001P530">'[2]Page 1'!$L$38</definedName>
    <definedName name="F001P530O6100">'[2]Page 1'!$F$38</definedName>
    <definedName name="F001P530O6200">'[2]Page 1'!$G$38</definedName>
    <definedName name="F001P530O630064006500">'[2]Page 1'!$H$38</definedName>
    <definedName name="F001P530O6600">'[2]Page 1'!$I$38</definedName>
    <definedName name="F001P530O6800">'[2]Page 1'!$J$38</definedName>
    <definedName name="F001P540">'[2]Page 1'!$L$39</definedName>
    <definedName name="F001P540CurrPersonnel">#REF!</definedName>
    <definedName name="F001P540F1000">#REF!</definedName>
    <definedName name="F001P540F1000Personnel">#REF!</definedName>
    <definedName name="F001P540F2100">#REF!</definedName>
    <definedName name="F001P540F2100Personnel">#REF!</definedName>
    <definedName name="F001P540F2200">#REF!</definedName>
    <definedName name="F001P540F2200Personnel">#REF!</definedName>
    <definedName name="F001P540F2300">#REF!</definedName>
    <definedName name="F001P540F2300Personnel">#REF!</definedName>
    <definedName name="F001P540F2400">#REF!</definedName>
    <definedName name="F001P540F2400Personnel">#REF!</definedName>
    <definedName name="F001P540F2500">#REF!</definedName>
    <definedName name="F001P540F2500Personnel">#REF!</definedName>
    <definedName name="F001P540F2600">#REF!</definedName>
    <definedName name="F001P540F2600Personnel">#REF!</definedName>
    <definedName name="F001P540F2900">#REF!</definedName>
    <definedName name="F001P540F2900Personnel">#REF!</definedName>
    <definedName name="F001P540F3000">#REF!</definedName>
    <definedName name="F001P540F3000Personnel">#REF!</definedName>
    <definedName name="F001P540O6100">'[2]Page 1'!$F$39</definedName>
    <definedName name="F001P540O6200">'[2]Page 1'!$G$39</definedName>
    <definedName name="F001P540O630064006500">'[2]Page 1'!$H$39</definedName>
    <definedName name="F001P540O6600">'[2]Page 1'!$I$39</definedName>
    <definedName name="F001P540O6800">'[2]Page 1'!$J$39</definedName>
    <definedName name="F001P540TotalBudgFY">#REF!</definedName>
    <definedName name="F001P540TotCurrFY">#REF!</definedName>
    <definedName name="F001P550O6100">'[2]Page 1'!$F$41</definedName>
    <definedName name="F001P550O6200">'[2]Page 1'!$G$41</definedName>
    <definedName name="F001P550O630064006500">'[2]Page 1'!$H$41</definedName>
    <definedName name="F001P550O6600">'[2]Page 1'!$I$41</definedName>
    <definedName name="F001P550O6800">'[2]Page 1'!$J$41</definedName>
    <definedName name="F001P610O6100">'[2]Page 1'!$F$18</definedName>
    <definedName name="F001P610O6200">'[2]Page 1'!$G$18</definedName>
    <definedName name="F001P610O630064006500">'[2]Page 1'!$H$18</definedName>
    <definedName name="F001P610O6600">'[2]Page 1'!$I$18</definedName>
    <definedName name="F001P610O6800">'[2]Page 1'!$J$18</definedName>
    <definedName name="F001P620O6100">'[2]Page 1'!$F$19</definedName>
    <definedName name="F001P620O6200">'[2]Page 1'!$G$19</definedName>
    <definedName name="F001P620O630064006500">'[2]Page 1'!$H$19</definedName>
    <definedName name="F001P620O6600">'[2]Page 1'!$I$19</definedName>
    <definedName name="F001P620O6800">'[2]Page 1'!$J$19</definedName>
    <definedName name="F001P630O6100">'[2]Page 1'!$F$20</definedName>
    <definedName name="F001P630O6200">'[2]Page 1'!$G$20</definedName>
    <definedName name="F001P630O630064006500">'[2]Page 1'!$H$20</definedName>
    <definedName name="F001P630O6600">'[2]Page 1'!$I$20</definedName>
    <definedName name="F001P630O6800">'[2]Page 1'!$J$20</definedName>
    <definedName name="F001P700800900O6100">'[2]Page 1'!$F$21</definedName>
    <definedName name="F001P700800900O6200">'[2]Page 1'!$G$21</definedName>
    <definedName name="F001P700800900O630064006500">'[2]Page 1'!$H$21</definedName>
    <definedName name="F001P700800900O6600">'[2]Page 1'!$I$21</definedName>
    <definedName name="F001P700800900O6800">'[2]Page 1'!$J$21</definedName>
    <definedName name="F001TotalExp">'[2]Page 1'!$L$42</definedName>
    <definedName name="F001TotExpCurrFY">'[2]Page 1'!$K$42</definedName>
    <definedName name="F011CSFBL">'[2]Page 8'!$F$45</definedName>
    <definedName name="F011TotalExp">'[2]Page 3'!$J$22</definedName>
    <definedName name="F012CSFBL">'[2]Page 8'!$G$45</definedName>
    <definedName name="F012TotalExp">'[2]Page 3'!$J$39</definedName>
    <definedName name="F013CSFBL">'[2]Page 8'!$H$45</definedName>
    <definedName name="F013TotalExp">'[2]Page 3'!$J$57</definedName>
    <definedName name="F020TotBudgFY">'[2]Page 6'!$H$45</definedName>
    <definedName name="F020TotCurrFY">'[2]Page 6'!$F$45</definedName>
    <definedName name="F050BudgFY">'[2]Page 6'!$T$5</definedName>
    <definedName name="F050CurrFY">'[2]Page 6'!$S$5</definedName>
    <definedName name="F071BudgFY">'[2]Supplement'!$M$18</definedName>
    <definedName name="F071CurrFY">'[2]Supplement'!$L$18</definedName>
    <definedName name="F072BudgFY">'[2]Supplement'!$M$30</definedName>
    <definedName name="F072CurrFY">'[2]Supplement'!$L$30</definedName>
    <definedName name="F378BudgFY">'[2]Page 6'!$J$22</definedName>
    <definedName name="F500BudgFY">'[2]Page 6'!$T$8</definedName>
    <definedName name="F500CurrFY">'[2]Page 6'!$S$8</definedName>
    <definedName name="F510BudgFY">'[2]Page 6'!$T$9</definedName>
    <definedName name="F510CurrFY">'[2]Page 6'!$S$9</definedName>
    <definedName name="F515BudgFY">'[2]Page 6'!$T$10</definedName>
    <definedName name="F515CurrFY">'[2]Page 6'!$S$10</definedName>
    <definedName name="F520BudgFY">'[2]Page 6'!$T$11</definedName>
    <definedName name="F520CurrFY">'[2]Page 6'!$S$11</definedName>
    <definedName name="F525BudgFY">'[2]Page 6'!$T$12</definedName>
    <definedName name="F525CurrFY">'[2]Page 6'!$S$12</definedName>
    <definedName name="F526BudgFY">'[2]Page 6'!$T$13</definedName>
    <definedName name="F526CurrFY">'[2]Page 6'!$S$13</definedName>
    <definedName name="F530BudgFY">'[2]Page 6'!$T$14</definedName>
    <definedName name="F530CurrFY">'[2]Page 6'!$S$14</definedName>
    <definedName name="F535BudgFY">'[2]Page 6'!$T$15</definedName>
    <definedName name="F535CurrFY">'[2]Page 6'!$S$15</definedName>
    <definedName name="F540BudgFY">'[2]Page 6'!$T$16</definedName>
    <definedName name="F540CurrFY">'[2]Page 6'!$S$16</definedName>
    <definedName name="F545BudgFY">'[2]Page 6'!$T$17</definedName>
    <definedName name="F545CurrFY">'[2]Page 6'!$S$17</definedName>
    <definedName name="F550BudgFY">'[2]Page 6'!$T$18</definedName>
    <definedName name="F550CurrFY">'[2]Page 6'!$S$18</definedName>
    <definedName name="F555BudgFY">'[2]Page 6'!$T$19</definedName>
    <definedName name="F555CurrFY">'[2]Page 6'!$S$19</definedName>
    <definedName name="F565BudgFY">'[2]Page 6'!$T$20</definedName>
    <definedName name="F565CurrFY">'[2]Page 6'!$S$20</definedName>
    <definedName name="F570BudgFY">'[2]Page 6'!$T$21</definedName>
    <definedName name="F570CurrFY">'[2]Page 6'!$S$21</definedName>
    <definedName name="F575BudgFY">'[2]Page 6'!$T$22</definedName>
    <definedName name="F575CurrFY">'[2]Page 6'!$S$22</definedName>
    <definedName name="F580BudgFY">'[2]Page 6'!$T$23</definedName>
    <definedName name="F580CurrFY">'[2]Page 6'!$S$23</definedName>
    <definedName name="F585BudgFY">'[2]Page 6'!$T$24</definedName>
    <definedName name="F585CurrFY">'[2]Page 6'!$S$24</definedName>
    <definedName name="F590BudgFY">'[2]Page 6'!$T$25</definedName>
    <definedName name="F590CurrFY">'[2]Page 6'!$S$25</definedName>
    <definedName name="F595BudgFY">'[2]Page 6'!$T$26</definedName>
    <definedName name="F595CurrFY">'[2]Page 6'!$S$26</definedName>
    <definedName name="F596BudgFY">'[2]Page 6'!$T$27</definedName>
    <definedName name="F596CurrFY">'[2]Page 6'!$S$27</definedName>
    <definedName name="F610O6731">'[2]Page 4'!$B$33</definedName>
    <definedName name="F610O6734">'[2]Page 4'!$B$34</definedName>
    <definedName name="F610O6737">'[2]Page 4'!$B$35</definedName>
    <definedName name="F610P520F1000">#REF!</definedName>
    <definedName name="F610P520F2000">#REF!</definedName>
    <definedName name="F610P520F3000">#REF!</definedName>
    <definedName name="F610P520F4000">#REF!</definedName>
    <definedName name="F610P520F5000">#REF!</definedName>
    <definedName name="F610P540F1000">#REF!</definedName>
    <definedName name="F610P540F2000">#REF!</definedName>
    <definedName name="F610P540F3000">#REF!</definedName>
    <definedName name="F610P540F4000">#REF!</definedName>
    <definedName name="F610P540F5000">#REF!</definedName>
    <definedName name="F610P540TotBudgFY">#REF!</definedName>
    <definedName name="F610TotalBudgFY">'[2]Page 4'!$K$19</definedName>
    <definedName name="F610TotalCurrFY">'[2]Page 4'!$J$19</definedName>
    <definedName name="F620BudgFY" localSheetId="9">'[2]Page 6'!#REF!</definedName>
    <definedName name="F620BudgFY">'[2]Page 6'!#REF!</definedName>
    <definedName name="F620CurrFY" localSheetId="9">'[2]Page 6'!#REF!</definedName>
    <definedName name="F620CurrFY">'[2]Page 6'!#REF!</definedName>
    <definedName name="F620TotalBudgFY">'[2]Page 5'!$K$8</definedName>
    <definedName name="F620TotalCurrFY">'[2]Page 5'!$J$8</definedName>
    <definedName name="F630TotalBudgFY">'[2]Page 5'!$G$8</definedName>
    <definedName name="F630TotalCurrFY">'[2]Page 5'!$F$8</definedName>
    <definedName name="F639BudgFY">'[2]Page 6'!$T$28</definedName>
    <definedName name="F639CurrFY">'[2]Page 6'!$S$28</definedName>
    <definedName name="F650BudgFY">'[2]Page 6'!$T$29</definedName>
    <definedName name="F650CurrFY">'[2]Page 6'!$S$29</definedName>
    <definedName name="F660BudgFY">'[2]Page 6'!$T$30</definedName>
    <definedName name="F660CurrFY">'[2]Page 6'!$S$30</definedName>
    <definedName name="F665BudgFY">'[2]Page 6'!$T$31</definedName>
    <definedName name="F665CurrFY">'[2]Page 6'!$S$31</definedName>
    <definedName name="F686BudgFY">'[2]Page 6'!$T$32</definedName>
    <definedName name="F686CurrFY">'[2]Page 6'!$S$32</definedName>
    <definedName name="F691BudgFY">'[2]Page 6'!$T$33</definedName>
    <definedName name="F691CurrFY">'[2]Page 6'!$S$33</definedName>
    <definedName name="F695TotalBudgFY">'[2]Page 5'!$I$8</definedName>
    <definedName name="F695TotalCurrFY">'[2]Page 5'!$H$8</definedName>
    <definedName name="F700BudgFY">'[2]Page 6'!$T$34</definedName>
    <definedName name="F700CurrFY">'[2]Page 6'!$S$34</definedName>
    <definedName name="F720BudgFY">'[2]Page 6'!$T$35</definedName>
    <definedName name="F720CurrFY">'[2]Page 6'!$S$35</definedName>
    <definedName name="F9__OPEBBudgFY">'[2]Page 6'!$T$40</definedName>
    <definedName name="F9__OPEBCurrFY">'[2]Page 6'!$S$40</definedName>
    <definedName name="F9__OtherBudgFY">'[2]Page 6'!$T$41</definedName>
    <definedName name="F9__OtherCurrFY">'[2]Page 6'!$S$41</definedName>
    <definedName name="F9__SelfInsBudgFY">'[2]Page 6'!$T$38</definedName>
    <definedName name="F9__SelfInsCurrFY">'[2]Page 6'!$S$38</definedName>
    <definedName name="F955BudgFY">'[2]Page 6'!$T$39</definedName>
    <definedName name="F955CurrFY">'[2]Page 6'!$S$39</definedName>
    <definedName name="FederalandStateProjectsTotal">'Page 2'!$E$37</definedName>
    <definedName name="FederalAuditExpense">'Instructions'!#REF!</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FY18Average">'Cover'!$R$41</definedName>
    <definedName name="GBLBudgFY">'[2]Page 7'!$J$56</definedName>
    <definedName name="HSCountDORtoDOA" localSheetId="8">'[2]Data Entry'!$N$145</definedName>
    <definedName name="HSCountDORtoDOA" localSheetId="9">'[2]Data Entry'!$N$145</definedName>
    <definedName name="HSCountDORtoDOA">#REF!</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Incr200Days">'Data Entry'!$D$61</definedName>
    <definedName name="IncreaseSinceFY18">'Cover'!$R$42</definedName>
    <definedName name="IndividualCharterSchoolCounts">'Instructions'!#REF!</definedName>
    <definedName name="JTEDBudgFY">'[2]Page 2'!$G$14</definedName>
    <definedName name="MaintenanceAndOperationMonies">'Instructions'!#REF!</definedName>
    <definedName name="NonFederalAuditExpense">'Instructions'!#REF!</definedName>
    <definedName name="OtherFundsBudgFY">'[2]Page 6'!$T$36</definedName>
    <definedName name="OtherFundsCurrFY">'[2]Page 6'!$S$36</definedName>
    <definedName name="OtherStateProjects" localSheetId="9">'Instructions'!#REF!</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age2l6and8" localSheetId="9">'[2]Instructions'!#REF!</definedName>
    <definedName name="Page2l6and8">'[2]Instructions'!#REF!</definedName>
    <definedName name="Page4">'[3]Page 5'!$A$1:$O$44</definedName>
    <definedName name="PercentageIncrease">'[2]Cover'!$S$34</definedName>
    <definedName name="PercentStatewideWeightedStudentCount">'Data Entry'!$C$76</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EnglishLanguageLearnerProj">'Instructions'!$C$26</definedName>
    <definedName name="PrimTaxRateCurrFY">'[2]Cover'!$N$13</definedName>
    <definedName name="_xlnm.Print_Area" localSheetId="6">'Budget Summary'!$A$1:$M$47</definedName>
    <definedName name="_xlnm.Print_Area" localSheetId="8">'Calculations'!$A$1:$O$119</definedName>
    <definedName name="_xlnm.Print_Area" localSheetId="9">'CHAR55'!$A$1:$J$138</definedName>
    <definedName name="_xlnm.Print_Area" localSheetId="1">'Charter Contact Info'!$A$1:$H$28</definedName>
    <definedName name="_xlnm.Print_Area" localSheetId="0">'Cover'!$A$1:$S$42</definedName>
    <definedName name="_xlnm.Print_Area" localSheetId="7">'Data Entry'!$A$1:$P$77</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10">'Instructions'!$1:$1</definedName>
    <definedName name="PriorYearSalary" localSheetId="8">'[2]Cover'!$S$32</definedName>
    <definedName name="PriorYearSalary" localSheetId="9">'[2]Cover'!$S$32</definedName>
    <definedName name="PriorYearSalary">'Cover'!$R$33</definedName>
    <definedName name="Prop123AdditionalFunding">'Instructions'!#REF!</definedName>
    <definedName name="PSD12WSC">'Data Entry'!#REF!</definedName>
    <definedName name="ResultsBasedFunding">'Instructions'!$C$16</definedName>
    <definedName name="SalaryComments">'[2]Cover'!$K$36</definedName>
    <definedName name="SalaryInc" localSheetId="9">'[2]Instructions'!#REF!</definedName>
    <definedName name="SalaryInc">'[2]Instructions'!#REF!</definedName>
    <definedName name="SalaryIncl1and2" localSheetId="9">'[2]Instructions'!#REF!</definedName>
    <definedName name="SalaryIncl1and2">'[2]Instructions'!#REF!</definedName>
    <definedName name="SalaryIncl3and4" localSheetId="9">'[2]Instructions'!#REF!</definedName>
    <definedName name="SalaryIncl3and4">'[2]Instructions'!#REF!</definedName>
    <definedName name="SalaryIncl6" localSheetId="9">'[2]Instructions'!#REF!</definedName>
    <definedName name="SalaryIncl6">'[2]Instructions'!#REF!</definedName>
    <definedName name="SalaryIncl7" localSheetId="9">'[2]Instructions'!#REF!</definedName>
    <definedName name="SalaryIncl7">'[2]Instructions'!#REF!</definedName>
    <definedName name="SalaryIncrease">'[2]Cover'!$S$33</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SPEDCareerEdBudgFY">'[2]Page 2'!$G$13</definedName>
    <definedName name="SPEDCareerEdCurrFY">'[2]Page 2'!$F$13</definedName>
    <definedName name="SPEDELLCompInstrBudgFY">'[2]Page 2'!$G$11</definedName>
    <definedName name="SPEDELLCompInstrCurrFY">'[2]Page 2'!$F$11</definedName>
    <definedName name="SPEDELLIncCostBudgFY">'[2]Page 2'!$G$10</definedName>
    <definedName name="SPEDELLIncCostCurrFY">'[2]Page 2'!$F$10</definedName>
    <definedName name="SPEDGiftedEdBudgFY">'[2]Page 2'!$G$8</definedName>
    <definedName name="SPEDGiftedEdCurrFY">'[2]Page 2'!$F$8</definedName>
    <definedName name="SPEDRemedialEdBudgFY">'[2]Page 2'!$G$9</definedName>
    <definedName name="SPEDRemedialEdCurrFY">'[2]Page 2'!$F$9</definedName>
    <definedName name="SPEDStaff">'[2]Summary Page 2'!$K$46</definedName>
    <definedName name="SPEDTeacher">'[2]Summary Page 2'!$K$45</definedName>
    <definedName name="SPEDVocTechEdBudgFY">'[2]Page 2'!$G$12</definedName>
    <definedName name="SPEDVocTechEdCurrFY">'[2]Page 2'!$F$12</definedName>
    <definedName name="SSA_MO">'[2]Page 7'!$J$23</definedName>
    <definedName name="SSA_UCO">'[2]Page 7'!$M$23</definedName>
    <definedName name="StudentCount">'Instructions'!#REF!</definedName>
    <definedName name="StudentCountAddOns">'Instructions'!#REF!</definedName>
    <definedName name="Summ_Page2_CSF" localSheetId="9">'[2]Instructions'!#REF!</definedName>
    <definedName name="Summ_Page2_CSF">'[2]Instructions'!#REF!</definedName>
    <definedName name="Summ_Page2_SPlant" localSheetId="9">'[2]Instructions'!#REF!</definedName>
    <definedName name="Summ_Page2_SPlant">'[2]Instructions'!#REF!</definedName>
    <definedName name="Summ_Page2SPlant" localSheetId="9">'[2]Instructions'!#REF!</definedName>
    <definedName name="Summ_Page2SPlant">'[2]Instructions'!#REF!</definedName>
    <definedName name="Suppl_P.1_2">#REF!</definedName>
    <definedName name="Suppl_P.2_UCO" localSheetId="9">'[2]Instructions'!#REF!</definedName>
    <definedName name="Suppl_P.2_UCO">'[2]Instructions'!#REF!</definedName>
    <definedName name="Suppl_P12_540" localSheetId="9">'[2]Instructions'!#REF!</definedName>
    <definedName name="Suppl_P12_540">'[2]Instructions'!#REF!</definedName>
    <definedName name="Suppl_Page2_UCO" localSheetId="9">'[2]Instructions'!#REF!</definedName>
    <definedName name="Suppl_Page2_UCO">'[2]Instructions'!#REF!</definedName>
    <definedName name="SupplCover">#REF!</definedName>
    <definedName name="SuppP2UCO" localSheetId="9">'[2]Instructions'!#REF!</definedName>
    <definedName name="SuppP2UCO">'[2]Instructions'!#REF!</definedName>
    <definedName name="Total_Student_Count">'Data Entry'!$B$20</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TotAmtCapExped">'[2]Page 7'!$M$58</definedName>
    <definedName name="TotClassSiteFundExpBudgFY">'[2]Page 3'!$J$58</definedName>
    <definedName name="TotClassSiteFundExpCurrFY">'[2]Page 3'!$I$58</definedName>
    <definedName name="TotFedProjFundBudgFY">'[2]Page 6'!$J$24</definedName>
    <definedName name="TotFedProjFundCurrFY">'[2]Page 6'!$I$24</definedName>
    <definedName name="TotSecTaxRateBudgFY">'[2]Cover'!$Q$22</definedName>
    <definedName name="TotSecTaxRateCurrFY">'[2]Cover'!$N$22</definedName>
    <definedName name="TotStateProjFundBudgFY">'[2]Page 6'!$J$37</definedName>
    <definedName name="TotStateProjFundCurrFY">'[2]Page 6'!$I$37</definedName>
    <definedName name="TotWSC">'Data Entry'!#REF!</definedName>
    <definedName name="UCBLBudgFY">'[2]Page 8'!$K$32</definedName>
    <definedName name="UnweightedStudCnt912PY" localSheetId="8">'[2]Data Entry'!$J$8</definedName>
    <definedName name="UnweightedStudCnt912PY" localSheetId="9">'[2]Data Entry'!$J$8</definedName>
    <definedName name="UnweightedStudCnt912PY">#REF!</definedName>
    <definedName name="UnweightedStudCntK8PY" localSheetId="8">'[2]Data Entry'!$I$8</definedName>
    <definedName name="UnweightedStudCntK8PY" localSheetId="9">'[2]Data Entry'!$I$8</definedName>
    <definedName name="UnweightedStudCntK8PY">#REF!</definedName>
    <definedName name="Version">'Instructions'!$C$4</definedName>
    <definedName name="WeightedSC">'Data Entry'!#REF!</definedName>
  </definedNames>
  <calcPr fullCalcOnLoad="1" fullPrecision="0"/>
</workbook>
</file>

<file path=xl/sharedStrings.xml><?xml version="1.0" encoding="utf-8"?>
<sst xmlns="http://schemas.openxmlformats.org/spreadsheetml/2006/main" count="1113" uniqueCount="555">
  <si>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</si>
  <si>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</si>
  <si>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</si>
  <si>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</si>
  <si>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</si>
  <si>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</si>
  <si>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</si>
  <si>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</si>
  <si>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</si>
  <si>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</si>
  <si>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</si>
  <si>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</si>
  <si>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</si>
  <si>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</si>
  <si>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</si>
  <si>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</si>
  <si>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</si>
  <si>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</si>
  <si>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</si>
  <si>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</si>
  <si>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</si>
  <si>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</si>
  <si>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</si>
  <si>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</si>
  <si>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</si>
  <si>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</si>
  <si>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</si>
  <si>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</si>
  <si>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</si>
  <si>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</si>
  <si>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</si>
  <si>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</si>
  <si>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</si>
  <si>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</si>
  <si>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</si>
  <si>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</si>
  <si>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</si>
  <si>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</si>
  <si>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</si>
  <si>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</si>
  <si>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</si>
  <si>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</si>
  <si>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</si>
  <si>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</si>
  <si>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</si>
  <si>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</si>
  <si>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</si>
  <si>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</si>
  <si>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</si>
  <si>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</si>
  <si>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</si>
  <si>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</si>
  <si>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</si>
  <si>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</si>
  <si>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</si>
  <si>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</si>
  <si>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</si>
  <si>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</si>
  <si>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</si>
  <si>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</si>
  <si>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</si>
  <si>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</si>
  <si>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</si>
  <si>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</si>
  <si>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</si>
  <si>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</si>
  <si>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</si>
  <si>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</si>
  <si>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</si>
  <si>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</si>
  <si>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</si>
  <si>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</si>
  <si>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</si>
  <si>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</si>
  <si>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</si>
  <si>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</si>
  <si>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</si>
  <si>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</si>
  <si>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</si>
  <si>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</si>
  <si>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</si>
  <si>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</si>
  <si>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</si>
  <si>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</si>
  <si>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</si>
  <si>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</si>
  <si>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</si>
  <si>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</si>
  <si>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</si>
  <si>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</si>
  <si>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</si>
  <si>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</si>
  <si>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</si>
  <si>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</si>
  <si>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</si>
  <si>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</si>
  <si>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</si>
  <si>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</si>
  <si>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</si>
  <si>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</si>
  <si>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</si>
  <si>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</si>
  <si>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</si>
  <si>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</si>
  <si>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</si>
  <si>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</si>
  <si>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</si>
  <si>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</si>
  <si>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</si>
  <si>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</si>
  <si>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</si>
  <si>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</si>
  <si>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</si>
  <si>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</si>
  <si>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</si>
  <si>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</si>
  <si>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</si>
  <si>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</si>
  <si>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</si>
  <si>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</si>
  <si>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</si>
  <si>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</si>
  <si>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</si>
  <si>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</si>
  <si>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</si>
  <si>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</si>
  <si>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</si>
  <si>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</si>
  <si>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</si>
  <si>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</si>
  <si>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</si>
  <si>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</si>
  <si>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</si>
  <si>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</si>
  <si>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</si>
  <si>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</si>
  <si>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</si>
  <si>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</si>
  <si>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</si>
  <si>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</si>
  <si>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</si>
  <si>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</si>
  <si>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</si>
  <si>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</si>
  <si>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</si>
  <si>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</si>
  <si>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</si>
  <si>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</si>
  <si>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</si>
  <si>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</si>
  <si>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</si>
  <si>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</si>
  <si>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</si>
  <si>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</si>
  <si>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</si>
  <si>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</si>
  <si>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</si>
  <si>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</si>
  <si>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</si>
  <si>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</si>
  <si>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</si>
  <si>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</si>
  <si>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</si>
  <si>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</si>
  <si>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</si>
  <si>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</si>
  <si>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</si>
  <si>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</si>
  <si>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</si>
  <si>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</si>
  <si>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</si>
  <si>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</si>
  <si>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</si>
  <si>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</si>
  <si>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</si>
  <si>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</si>
  <si>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</si>
  <si>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</si>
  <si>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</si>
  <si>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</si>
  <si>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</si>
  <si>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</si>
  <si>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</si>
  <si>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</si>
  <si>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</si>
  <si>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</si>
  <si>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</si>
  <si>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</si>
  <si>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</si>
  <si>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</si>
  <si>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</si>
  <si>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</si>
  <si>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</si>
  <si>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</si>
  <si>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</si>
  <si>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</si>
  <si>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</si>
  <si>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</si>
  <si>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</si>
  <si>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</si>
  <si>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</si>
  <si>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</si>
  <si>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</si>
  <si>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</si>
  <si>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</si>
  <si>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</si>
  <si>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</si>
  <si>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</si>
  <si>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</si>
  <si>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</si>
  <si>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</si>
  <si>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</si>
  <si>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</si>
  <si>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</si>
  <si>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</si>
  <si>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</si>
  <si>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</si>
  <si>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</si>
  <si>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</si>
  <si>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</si>
  <si>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</si>
  <si>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</si>
  <si>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</si>
  <si>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</si>
  <si>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</si>
  <si>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</si>
  <si>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</si>
  <si>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</si>
  <si>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</si>
  <si>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</si>
  <si>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</si>
  <si>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</si>
  <si>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</si>
  <si>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</si>
  <si>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</si>
  <si>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</si>
  <si>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</si>
  <si>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</si>
  <si>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</si>
  <si>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</si>
  <si>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</si>
  <si>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</si>
  <si>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</si>
  <si>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</si>
  <si>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</si>
  <si>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</si>
  <si>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</si>
  <si>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</si>
  <si>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</si>
  <si>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</si>
  <si>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</si>
  <si>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</si>
  <si>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</si>
  <si>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</si>
  <si>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</si>
  <si>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</si>
  <si>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</si>
  <si>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</si>
  <si>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</si>
  <si>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</si>
  <si>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</si>
  <si>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</si>
  <si>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</si>
  <si>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</si>
  <si>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</si>
  <si>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</si>
  <si>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</si>
  <si>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</si>
  <si>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</si>
  <si>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</si>
  <si>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</si>
  <si>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</si>
  <si>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</si>
  <si>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</si>
  <si>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</si>
  <si>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</si>
  <si>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</si>
  <si>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</si>
  <si>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</si>
  <si>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</si>
  <si>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t>Federal and State Projects (from page 2, line 32)</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</si>
  <si>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</si>
  <si>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</si>
  <si>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</si>
  <si>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</si>
  <si>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</si>
  <si>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</si>
  <si>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</si>
  <si>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</si>
  <si>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</si>
  <si>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</si>
  <si>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</si>
  <si>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</si>
  <si>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</si>
  <si>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</si>
  <si>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</si>
  <si>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</si>
  <si>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</si>
  <si>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Ms.</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</si>
  <si>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</si>
  <si>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</si>
  <si>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</si>
  <si>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</si>
  <si>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</si>
  <si>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</si>
  <si>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</si>
  <si>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</si>
  <si>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</si>
  <si>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</si>
  <si>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</si>
  <si>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</si>
  <si>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</si>
  <si>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</si>
  <si>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</si>
  <si>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</si>
  <si>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</si>
  <si>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</si>
  <si>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</si>
  <si>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</si>
  <si>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</si>
  <si>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</si>
  <si>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</si>
  <si>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</si>
  <si>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</si>
  <si>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</si>
  <si>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</si>
  <si>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</si>
  <si>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</si>
  <si>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Type the Date as MM/DD/YYYY</t>
  </si>
  <si>
    <t>Email Address</t>
  </si>
  <si>
    <t>via the Common Logon on ADE's website by</t>
  </si>
  <si>
    <t>County</t>
  </si>
  <si>
    <t>PSD</t>
  </si>
  <si>
    <t>K-8</t>
  </si>
  <si>
    <t>9-12</t>
  </si>
  <si>
    <t>Support Level Weight</t>
  </si>
  <si>
    <t>Student Count 100.000-499.999</t>
  </si>
  <si>
    <t>Student Count Constant</t>
  </si>
  <si>
    <t>-</t>
  </si>
  <si>
    <t>Difference</t>
  </si>
  <si>
    <t>=</t>
  </si>
  <si>
    <t>Weight Adjustment Factor</t>
  </si>
  <si>
    <t>x</t>
  </si>
  <si>
    <t>Support Level Weight Increase</t>
  </si>
  <si>
    <t>+</t>
  </si>
  <si>
    <t>Student Count 500.000-599.999</t>
  </si>
  <si>
    <t>Non-AOI Student Count</t>
  </si>
  <si>
    <t>AOI Full-Time Student Count</t>
  </si>
  <si>
    <t>AOI Part-Time Student Count</t>
  </si>
  <si>
    <t>Student Count Add-ons</t>
  </si>
  <si>
    <t>K-3 Reading</t>
  </si>
  <si>
    <t>K-3</t>
  </si>
  <si>
    <t>English Learners (ELL)</t>
  </si>
  <si>
    <t>Hearing Impairment (HI)</t>
  </si>
  <si>
    <t>Multiple Disabilities Severe Sensory Impairment</t>
  </si>
  <si>
    <t>Orthopedic Impairment (Resource)</t>
  </si>
  <si>
    <t>Orthopedic Impairment (Self Contained)</t>
  </si>
  <si>
    <t>Preschool-Severe Delay (P-SD)</t>
  </si>
  <si>
    <t>Emotional Disability (Private)</t>
  </si>
  <si>
    <t>Moderate Intellectual Disability (MOID)</t>
  </si>
  <si>
    <t>Visual Impairment (VI)</t>
  </si>
  <si>
    <t>Total Weighted Student Count</t>
  </si>
  <si>
    <t>Non-AOI</t>
  </si>
  <si>
    <t>AOI FT*</t>
  </si>
  <si>
    <t>AOI PT*</t>
  </si>
  <si>
    <t>*AOI counts shown reflect applicable full-time or part-time funding ratio.</t>
  </si>
  <si>
    <t>Non-AOI Student Counts</t>
  </si>
  <si>
    <t>Student Count</t>
  </si>
  <si>
    <t>Weighted Student Counts</t>
  </si>
  <si>
    <t>Weighted Student Count</t>
  </si>
  <si>
    <t>SubTotal</t>
  </si>
  <si>
    <t>ELL</t>
  </si>
  <si>
    <t>HI</t>
  </si>
  <si>
    <t>MD-R, A-R, SID-R</t>
  </si>
  <si>
    <t>MD-SC, A-SC, SID-SC</t>
  </si>
  <si>
    <t>P-SD</t>
  </si>
  <si>
    <t>MOID</t>
  </si>
  <si>
    <t>VI</t>
  </si>
  <si>
    <t>DD, ED, MIID, SLD, SLI, OHI</t>
  </si>
  <si>
    <t>Base Support Level</t>
  </si>
  <si>
    <t>Base Level Amount</t>
  </si>
  <si>
    <t>Base Support Level Adjustments</t>
  </si>
  <si>
    <t>Audit Service Expense</t>
  </si>
  <si>
    <t>The organizational structure or management agreement of your charter holder requires your charter holder or charter school to contract with a specific management company.</t>
  </si>
  <si>
    <t>The governing body of your charter holder has identical membership to another charter holder in this state.</t>
  </si>
  <si>
    <t>Your charter holder is a subsidiary of a corporation that has other subsidiaries that are charter holders in this state.</t>
  </si>
  <si>
    <t>Your charter holder holds more than one charter in this state.</t>
  </si>
  <si>
    <t xml:space="preserve">PSD-12 STUDENT COUNT  </t>
  </si>
  <si>
    <t>Full-time AOI Student Count</t>
  </si>
  <si>
    <t>Part-time AOI Student Count</t>
  </si>
  <si>
    <t xml:space="preserve">    Total Student Count</t>
  </si>
  <si>
    <t>Student Count 0.001-99.999</t>
  </si>
  <si>
    <t>Support Level Weight Constant</t>
  </si>
  <si>
    <t xml:space="preserve">    Support Level Weight </t>
  </si>
  <si>
    <t xml:space="preserve">Student Count 600.000 or More </t>
  </si>
  <si>
    <t>Decrease for Federal and State Monies Received for M&amp;O Purposes</t>
  </si>
  <si>
    <t xml:space="preserve">Table 1 - Individual Charter School Counts </t>
  </si>
  <si>
    <t>Support Level Weight from Table 1</t>
  </si>
  <si>
    <t>Support Level Weight from Table 2 (based on small school weight eligibility)</t>
  </si>
  <si>
    <t>Difference in Support Level Weight</t>
  </si>
  <si>
    <t>Difference in Group A Weighted Student Count for Small School Weight Adjustment</t>
  </si>
  <si>
    <t>Total K-8 and 9-12 Reduction to Base Support Level for Small School Weight Adjustment</t>
  </si>
  <si>
    <t>Total Unweighted Student Count</t>
  </si>
  <si>
    <t>For Charter Schools</t>
  </si>
  <si>
    <t>AOI Full Time Student Counts</t>
  </si>
  <si>
    <t>AOI Part Time Student Counts</t>
  </si>
  <si>
    <t xml:space="preserve">Total </t>
  </si>
  <si>
    <t xml:space="preserve">Base Support Level </t>
  </si>
  <si>
    <t>Adjusted Base Support Level</t>
  </si>
  <si>
    <t>Additional Assistance</t>
  </si>
  <si>
    <t>Additional Assistance Per Student</t>
  </si>
  <si>
    <t>Total Additional Assistance</t>
  </si>
  <si>
    <t>Equalization Assistance</t>
  </si>
  <si>
    <t>Equalization Base/Assistance</t>
  </si>
  <si>
    <t xml:space="preserve">Difference in Support Level Weight </t>
  </si>
  <si>
    <t>SUPPORT LEVEL WEIGHTS (GROUP B WEIGHTS) [A.R.S. §§15-943, 15-185 &amp; 15-808]</t>
  </si>
  <si>
    <t>BASE SUPPORT LEVEL ADJUSTMENTS [A.R.S. §§15-943 &amp; 15-185]</t>
  </si>
  <si>
    <t>INCREASE FOR ALLOCATION OF ADDITIONAL FUNDING [2016 Prop 123 &amp; Laws 2015, 1st S.S., Ch.1, §6]</t>
  </si>
  <si>
    <t>Estimated Allocation of Additional Prop 123 Funding</t>
  </si>
  <si>
    <t>Basic Calculations For Equalization Assistance</t>
  </si>
  <si>
    <t>FY 2019-20</t>
  </si>
  <si>
    <t>MDSSI</t>
  </si>
  <si>
    <t>OI R</t>
  </si>
  <si>
    <t>OI SC</t>
  </si>
  <si>
    <t>EDP</t>
  </si>
  <si>
    <t>Total Weighted Add-On Count</t>
  </si>
  <si>
    <t xml:space="preserve">Add-Ons </t>
  </si>
  <si>
    <t>FY2019-20 Estimated Student Count</t>
  </si>
  <si>
    <t>FY 2019-20 Estimated Student Count</t>
  </si>
  <si>
    <t>Student Counts</t>
  </si>
  <si>
    <t>Add-Ons</t>
  </si>
  <si>
    <t xml:space="preserve">Weighted Student </t>
  </si>
  <si>
    <t xml:space="preserve">Weighted
Add-On </t>
  </si>
  <si>
    <t>Estimated          40th Day                   FY 2019-20 ADM</t>
  </si>
  <si>
    <t>Estimated            40th Day                   FY 2019-20 ADM</t>
  </si>
  <si>
    <t>Total Student Count Add-On</t>
  </si>
  <si>
    <t>SUPPORT LEVEL WEIGHTS TO BE USED FOR:</t>
  </si>
  <si>
    <t xml:space="preserve">Individual Charter School Counts </t>
  </si>
  <si>
    <t>Charter Holder Total Charter School Counts (complete only if one or more criteria above are checked)</t>
  </si>
  <si>
    <t>Table 2 - Charter Holder Total Charter School Counts (only calculated if one or more criteria are checked on the Data Entry Tab)</t>
  </si>
  <si>
    <t>Total Weighted Student Count (lines 1 through 14)</t>
  </si>
  <si>
    <t>Adjustment to Charter Additional Assistance (Shown on CHAR 64-1)</t>
  </si>
  <si>
    <t>School's Percent of Statewide Weighted Student Count</t>
  </si>
  <si>
    <t>Enter total student counts for PSD, K-8, and 9-12 students for all affiliated charter schools of the charter holder. This table must be completed unless all boxes have been unchecked to indicate that the charter holder has no affiliated charter schools.</t>
  </si>
  <si>
    <t>FT AOI Student Count, funded at 95% (A.R.S. §15-808(F)(1))</t>
  </si>
  <si>
    <t>PT AOI Student Count, funded at 85% (A.R.S. §15-808(F)(1))</t>
  </si>
  <si>
    <t>2016 Prop 123 and Laws 2015, 1st S.S., Ch.1, §6, provides total additional funding of $50,000,000 to districts and charter schools on a pro rata basis. The estimated increase in additional funding is provided below. However, actual amounts will vary and ADE will notify schools of the final amounts. Schools should include these monies in their Schoolwide Project Budget. These monies may be expended for any allowable school purpose.</t>
  </si>
  <si>
    <r>
      <t xml:space="preserve">Please </t>
    </r>
    <r>
      <rPr>
        <b/>
        <sz val="10"/>
        <rFont val="Arial"/>
        <family val="2"/>
      </rPr>
      <t>uncheck</t>
    </r>
    <r>
      <rPr>
        <sz val="10"/>
        <rFont val="Arial"/>
        <family val="2"/>
      </rPr>
      <t xml:space="preserve"> each box that </t>
    </r>
    <r>
      <rPr>
        <b/>
        <sz val="10"/>
        <rFont val="Arial"/>
        <family val="2"/>
      </rPr>
      <t>does not</t>
    </r>
    <r>
      <rPr>
        <sz val="10"/>
        <rFont val="Arial"/>
        <family val="2"/>
      </rPr>
      <t xml:space="preserve"> apply. Unchecking a box indicates the criteria does not apply to the charter school. If all boxes are unchecked, the small school weight adjustment does not apply to the school. Charter schools not sponsored by the Arizona State Board for Charter Schools should contact ADE's School Finance payment team by email at SFPaymentTeam@azed.gov</t>
    </r>
  </si>
  <si>
    <t>BASE SUPPORT LEVEL WEIGHTS (GROUP A WEIGHTS) [A.R.S. §§15-943 and 15-185]</t>
  </si>
  <si>
    <t xml:space="preserve">Enter the amount received from federal or state agencies for basic maintenance and operation of the school (except for ESEA Title VIII). Do not include federal or state grants that are received for a specific purpose. (A.R.S. §15-185)
In accordance with A.R.S. §15-185(P)(1), the Auditor General has determined that the following federal monies meet the definition of “monies intended for the basic maintenance and operations of the school” (as referred to in that subsection), that must be used to reduce the base support level and state equalization assistance, as directed by A.R.S. §15-185(D). This list is not necessarily all-inclusive. The Auditor General may determine in the future that other federal or state grants meet the definition of “monies intended for the basic maintenance and operations of the school.”
</t>
  </si>
  <si>
    <t>Reduction to Base Level Amount Provided by Small School Weight (A.R.S. §15-185)</t>
  </si>
  <si>
    <t xml:space="preserve">Check box if the school has been approved to provide 200 days of instruction by ADE. </t>
  </si>
  <si>
    <t xml:space="preserve">1. Indian School Equalization Program entitlements received for:
    • Instructional Costs (Basic Program, Gifted &amp; Talented Programs, and Small School Adjustment)
    • Bilingual Instruction Costs (Supplemental Programs–Bilingual Program)
    • Exceptional Child Education Costs (Exceptional Child Programs)
    • Student Transportation Fund Costs
    • School Board Training Fund Costs (School Board Supplement)
Indian School Equalization Program entitlements received for Boarding Costs, Dormitory Costs, Intense Residential Guidance Costs, and Pre-kindergarten Costs would not be subject to the reduction.
2. Administrative Cost Grant entitlements received.
</t>
  </si>
  <si>
    <t>Check box if the school is new and will begin operations in FY 2020.</t>
  </si>
  <si>
    <t>FY 2020</t>
  </si>
  <si>
    <t>Enter the school's percentage of statewide weighted student count as reported on page 1 of its most recent Classroom Site Project Detail Report. Classroom Site Project Detail Reports can be accessed at http://apps.azed.gov/SchoolFinanceReports/Reports. Amounts should be entered as a decimal. For example 0.0601% should be entered as 0.000601.</t>
  </si>
  <si>
    <t>Charter School</t>
  </si>
  <si>
    <t>Comments on average salary calculation (optional):</t>
  </si>
  <si>
    <t>Charter's website address</t>
  </si>
  <si>
    <t>Select from dropdown</t>
  </si>
  <si>
    <t>BASE SUPPORT LEVEL WEIGHTS CALCULATION [A.R.S. §§15-943 and 15-185]</t>
  </si>
  <si>
    <t xml:space="preserve"> Base Support Level amounts from Total K-3 and Total K-3 Reading Weighted Student Counts</t>
  </si>
  <si>
    <t>Small School Weight Adjustment (Shown on CHAR 64-1)</t>
  </si>
  <si>
    <t>Support Level Difference Used to Calculate Small School Weight Adjustment</t>
  </si>
  <si>
    <t xml:space="preserve"> INCREASE FOR ALLOCATION OF ADDITIONAL FUNDING [2016 Prop 123 &amp; Laws 2015, 1st S.S., Ch.1, §6]</t>
  </si>
  <si>
    <t xml:space="preserve">    </t>
  </si>
  <si>
    <t>5. Average salary of all teachers employed in FY 2018</t>
  </si>
  <si>
    <t xml:space="preserve">6. Total percentage increase in average teacher salary since FY 2018 </t>
  </si>
  <si>
    <t>Average salary of all teachers employed in FY 2018</t>
  </si>
  <si>
    <t xml:space="preserve">Total percentage increase in average teacher salary since FY 2018 </t>
  </si>
  <si>
    <t>NOTES:</t>
  </si>
  <si>
    <t>MD-R (Multiple Disabilities-Resource), A-R (Autism-Resource), and SID-R (Severe Intellectual Disability-Resource)</t>
  </si>
  <si>
    <t>MD-SC (Multiple Disabilities-Self-Contained), A-SC (Autism-Self-Contained), and SID-SC (Severe Intellectual Disability-Self-Contained)</t>
  </si>
  <si>
    <t>DD (Developmental Delay for children in kindergarten through age 10), ED (Emotional Disabilities), MIID (Mild Intellectual Disability), SLD (Specific Learning Disability), SLI (Speech/Language Impairment), and OHI (Other Health Impairments)</t>
  </si>
  <si>
    <t>(1)</t>
  </si>
  <si>
    <t>(2)</t>
  </si>
  <si>
    <t>(3)</t>
  </si>
  <si>
    <t>MD-R, A-R, and SID-R     (1)</t>
  </si>
  <si>
    <t>MD-SC, A-SC, and SID-SC     (2)</t>
  </si>
  <si>
    <t>DD, ED, MIID, SLD, SLI, and OHI     (3)</t>
  </si>
  <si>
    <t>A.R.S. §15-211 requires schools to submit a plan to ADE by October 1 for improving the reading proficiency of its pupils in Kindergarten programs and Grades 1-3. The plan must include a budget for spending monies from both the K-3 and K-3 Reading support level weights. Schools must use monies generated by the K-3 Reading weight only on instructional purposes intended to improve reading proficiency for pupils in Kindergarten through 3rd grade with particular emphasis on pupils in Kindergarten through 2nd grade. The K-3 Reading weight will only be included in the charter's CHAR 55-1 after the school's K-3 Reading Program Plan is approved by the State Board of Education. Contact ADE's Move on When Reading program area with questions at http://www.azed.gov/mowr/</t>
  </si>
  <si>
    <t>Page 1 of 4</t>
  </si>
  <si>
    <t>Page 2 of 4</t>
  </si>
  <si>
    <t>Page 4 of 4</t>
  </si>
  <si>
    <t>Page 3 of 4</t>
  </si>
  <si>
    <t>TOTAL BUDGETED REVENUES FOR FISCAL YEAR 2019</t>
  </si>
  <si>
    <r>
      <t>ESTIMATED REVENUES BY SOURCE FOR FISC</t>
    </r>
    <r>
      <rPr>
        <sz val="10"/>
        <color indexed="12"/>
        <rFont val="Arial"/>
        <family val="2"/>
      </rPr>
      <t>AL YEAR 2020</t>
    </r>
  </si>
  <si>
    <t>The FY 2020 budget file for the version described at left will be uploaded</t>
  </si>
  <si>
    <t>AVERAGE TEACHER SALARY (A.R.S. §15-189.05)</t>
  </si>
  <si>
    <t>1. Average salary of all teachers employed in budget year 2020</t>
  </si>
  <si>
    <t>2. Average salary of all teachers employed in prior year 2019</t>
  </si>
  <si>
    <t>3. Increase in average teacher salary from the prior year 2019</t>
  </si>
  <si>
    <t>We hereby certify that the Budget for the School Year 2020 was</t>
  </si>
  <si>
    <t>English Language Learner Project (from page 4, line 11)</t>
  </si>
  <si>
    <t>Prior Year 2019</t>
  </si>
  <si>
    <t>Budget Year 2020</t>
  </si>
  <si>
    <t>Program 200 Prior Year 2019</t>
  </si>
  <si>
    <t>Program 200 Budget Year 2020</t>
  </si>
  <si>
    <t>Vocational and Technical Ed.</t>
  </si>
  <si>
    <t>Prior Year  2019</t>
  </si>
  <si>
    <t>English Language Learner Project - 1071</t>
  </si>
  <si>
    <t>FY 2020 SUMMARY OF CHARTER SCHOOL PROPOSED BUDGET</t>
  </si>
  <si>
    <t>English Language Learner</t>
  </si>
  <si>
    <t>Average salary of all teachers employed in the budget year 2020</t>
  </si>
  <si>
    <t>Average salary of all teachers employed in the prior year 2019</t>
  </si>
  <si>
    <t>Increase in average teacher salary from the prior year 2019</t>
  </si>
  <si>
    <t xml:space="preserve">Enter total student counts for the charter school for PSD, K-8, and 9-12 students. Student count must be estimated student counts based on actual registration of students. Actual registration of PSD and kindergarten students should be divided by 2 to get estimated student counts for kindergarten. After the 100th day in session, the ADE FY 2020 ADM20 - Summary Adjusted ADM Report for the 100th day should be used, available via ADE Connect, AzEDS Portal. Schools approved to provide 200 days of instruction will adjust their FY 2021 budget for discrepancies between the FY 2020 100th-day and 200th-day student counts. (The Total K-UE report is used for K-8 and/or 9-12) </t>
  </si>
  <si>
    <t>A.R.S. §15-902.04 allows schools that provide 200 days of instruction to increase the base level amount by 5%. In order to be eligible for this increase in funding, the school must be approved for 200 days of instruction by ADE and its sponsor. Schools must receive approval from ADE for FY 2020 prior to June 1, 2019. Please contact ADE's School Finance account analyst team by email with questions concerning 200 days of instruction at SFAnalystTeam@azed.gov</t>
  </si>
  <si>
    <t>FY 2018 Non-Federal Audit Service Actual Expense</t>
  </si>
  <si>
    <t>Schools must include audit costs for FY 2020 under "Selected Expenses By Type" on Budget page 2 to receive this increase. Enter the amount expended for audit services in FY 2018 from non-federal monies to obtain the allowable increase in BSL for the budget year. Do not include the costs of consulting or other nonaudit services paid to audit firms (e.g., application fees paid for submission of school's reports to ASBO and GFOA for certification or for the preparation of the Meritorious Budget Award application to ASBO). A.R.S. §15-914(F) allows schools to increase their base support levels if audit costs will be incurred for the budget year.</t>
  </si>
  <si>
    <t>FY 2018 Federal Audit Service Actual Expense</t>
  </si>
  <si>
    <t>Enter the amount expended for audit services in FY 2018 from federal monies. Do not include the costs of consulting or other nonaudit services paid to audit firms (e.g., application fees paid for submission of school's reports to ASBO and GFOA for certification or for the preparation of the Meritorious Budget Award application to ASBO).</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</si>
  <si>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2019 budget forms. However, the cells have not been protected so users may also enter the information manually. To bring forward amounts automatically, the most recently revised FY 2019 budget must be saved as budget19.xls in the C:\CSFORMS folder. If the file is not named budget19.xls, the formulas will not function properly. Excel will ask the user to update information when the budget20.xls file is opened. Users should review amounts reported in the prior year column to ensure they agree to the school’s most recently revised FY 2019 budget.
Schools should complete the Data Entry page before completing Pages 1 through 4. To ensure that the school's data can be properly processed by ADE, formulas should not be changed without specific instructions from either the Arizona Auditor General's Office, Accounting Services Division, or ADE, School Finance.</t>
  </si>
  <si>
    <t>Estimated revenues by source for FY 2020 should be based on the best information available at the time the budget is prepared. Estimated revenues may be more or less than estimated expenses.</t>
  </si>
  <si>
    <t>In accordance with A.R.S. §15-189.05,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statute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</si>
  <si>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 xml:space="preserve">Depreciation expense should not be reported on the budget forms. Purchases of capital assets (land and land improvements, site improvements, buildings and building improvements, equipment, and construction in progress) should only be reported in the Capital Acquisitions section of page 2. 
</t>
  </si>
  <si>
    <t>Schools participating in the Arizona State Retirement System should budget in object code 6200 at the rate of 11.94% for retirement contributions and 0.17% for long term disability contributions for covered positions. For positions subject to the Alternate Contribution Rate, schools should budget at the rate of 10.41%.</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</si>
  <si>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2020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</si>
  <si>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English Language Learner Project</t>
  </si>
  <si>
    <t>See USFRCS page III-B-2 for guidance on the use of the English Language Learner Project (Project 1071). In order to efficiently record English Language Learner expenses, schools should be using program code 260, Special Education—ELL Incremental Costs and Program 430, Pupil Transportation—ELL Incremental Costs, as applicable.</t>
  </si>
  <si>
    <t>See USFRCS page III-B-2 for guidance on the use of the Compensatory Instruction Project (Project 1072). In order to efficiently record English language learner and compensatory instruction expenses, schools should be using program codes 265, Special Education—ELL Compensatory Instruction and Program 435, Pupil Transportation—ELL Compensatory Instruction, as applicable.</t>
  </si>
  <si>
    <t xml:space="preserve">Schools receive revenues from the Classroom Site Project each year. A.R.S. §15-977(G)(1) requires the Joint Legislative Budget Committee to calculate an estimated per pupil amount each year. For FY 2020 the estimated cash payment is $434.00 per “Group A weighted” pupil (CHAR55 Tab, Total of Non-AOI Weighted Student Count—Line 17, AOI Full Time Weighted Student Count—Line 52 and AOI Part Time Weighted Student Count—Line 86).
See USFRCS page III-B-1 and USFRCS Memorandum No. 44 for additional guidance on the use of Classroom Site Project monies.
</t>
  </si>
  <si>
    <r>
      <t>Schools that receive monies from the college credit by examination incentive program per A.R.S §15-249.06, as amended by Laws 2019, Ch. 98, §1,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and to other teachers of relevant subjects who instructed that student, including but not limited to teachers in the same department or subject matter that contributed to the student passing the exam, as identified by the governing body or the school principal. The remainder of any bonus monies received from this program must be allocated by the school principal on behalf of students who receive a passing score and may be used for teacher professional development or student instructional support, reimbursement of exam fees or instructional materials.</t>
    </r>
  </si>
  <si>
    <t>Charter Additional Assistance (From CHAR55 tab)</t>
  </si>
  <si>
    <r>
      <t>Before the 100th day in session, schools may use estimated student counts based on actual registration of students to determine the Add-On weighted counts or counts may be left blank. After the 100th day in session for all schools, the student counts to determine the Add-On weighted counts should be obtained from the following ADE reports:
K-3 and K-3 Reading: ADM20</t>
    </r>
    <r>
      <rPr>
        <sz val="10"/>
        <rFont val="Calibri"/>
        <family val="2"/>
      </rPr>
      <t>—</t>
    </r>
    <r>
      <rPr>
        <sz val="10"/>
        <rFont val="Arial"/>
        <family val="2"/>
      </rPr>
      <t xml:space="preserve">Summary Adjusted ADM Report    
ELL: English Learners (ELL) Students Served in Programs Under A.R.S. §15-754, ELL20—English Language Learner Average Daily Membership Summary Report          
Children with Disabilities: SPED20—Special Education Average Daily Membership Summary Report   </t>
    </r>
  </si>
  <si>
    <t>Adjusted Base Level Amount (A.R.S. §15-901, as amended by Laws 2019, Ch. 265, §7)</t>
  </si>
  <si>
    <t>CHARTER ADDITIONAL ASSISTANCE [A.R.S. §15-185(B)(4), as amended by Laws 2019, Ch. 265, §3]</t>
  </si>
  <si>
    <t>Laws 2019, Ch. 265, §21 requires ADE to reduce charter additional assistance for all charter schools for FY 2020. For budget adoption, the reduction is estimated by reducing the CAA on line 1 by 1.8%. The actual amount will vary and ADE will notify schools of the final amounts.</t>
  </si>
  <si>
    <t xml:space="preserve">Schools that receive monies from the Results-based Funding Project per A.R.S §15-249.08, as amended by Laws 2019, Ch. 265, §5, should deposit them in Project 1457—Results-based Funding. Monies received should not supplant monies budgeted or received from any other source that are generally provided to that school. The majority of the monies received must be used at the school that earned the results for teacher salaries, to hire teachers, for school leader salaries, for classroom supplies and for other strategies to sustain outcomes for students at that school. A portion of the monies received may be used for expanding and replicating that school site as a quality school model. </t>
  </si>
  <si>
    <t>Calculations</t>
  </si>
  <si>
    <t>Equalization Base/Assistance (From CHAR55 tab)</t>
  </si>
  <si>
    <t>tab and the CHAR 64-1.</t>
  </si>
  <si>
    <t xml:space="preserve"> *Note: This amount does not reflect any reduction to the base support level for small school weight adjustment. </t>
  </si>
  <si>
    <t>See the</t>
  </si>
  <si>
    <t xml:space="preserve"> ADJUSTED EQUALIZATION ASSISTANCE BASE (Shown on CHAR 64-1)</t>
  </si>
  <si>
    <t>Scottsdale Country Day School</t>
  </si>
  <si>
    <t>Maricopa</t>
  </si>
  <si>
    <t>078243000</t>
  </si>
  <si>
    <t>Steve</t>
  </si>
  <si>
    <t>Prahcharov</t>
  </si>
  <si>
    <t>Steve@scdsaz.com</t>
  </si>
  <si>
    <t>Katherine</t>
  </si>
  <si>
    <t>Kathy@scdsaz.com</t>
  </si>
  <si>
    <t>Claudina</t>
  </si>
  <si>
    <t>Douglas</t>
  </si>
  <si>
    <t>Cdouglas@adibiz.com</t>
  </si>
  <si>
    <t xml:space="preserve">Steve </t>
  </si>
  <si>
    <t>Robert</t>
  </si>
  <si>
    <t>Hill</t>
  </si>
  <si>
    <t>Mary</t>
  </si>
  <si>
    <t>Alpaugh</t>
  </si>
  <si>
    <t>www.scdsaz.com</t>
  </si>
  <si>
    <t>Steve Prahcharov</t>
  </si>
  <si>
    <t>Claudina Douglas</t>
  </si>
  <si>
    <t>steve@scdsaz.com</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</si>
</sst>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 numFmtId="198" formatCode="0.000"/>
    <numFmt numFmtId="199" formatCode="0.0000%"/>
    <numFmt numFmtId="200" formatCode="0.000_);\(0.000\)"/>
    <numFmt numFmtId="201" formatCode="0.000%"/>
    <numFmt numFmtId="202" formatCode="_(&quot;$&quot;* #,##0.000_);_(&quot;$&quot;* \(#,##0.000\);_(&quot;$&quot;* &quot;-&quot;???_);_(@_)"/>
    <numFmt numFmtId="203" formatCode="&quot;$&quot;#,##0.000_);\(&quot;$&quot;#,##0.000\)"/>
  </numFmts>
  <fonts count="85">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9"/>
      <name val="Times New Roman"/>
      <family val="1"/>
    </font>
    <font>
      <sz val="9"/>
      <name val="Arial"/>
      <family val="2"/>
    </font>
    <font>
      <b/>
      <sz val="12"/>
      <name val="Arial"/>
      <family val="2"/>
    </font>
    <font>
      <sz val="10"/>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9"/>
      <color indexed="17"/>
      <name val="Arial"/>
      <family val="2"/>
    </font>
    <font>
      <b/>
      <sz val="10"/>
      <color indexed="9"/>
      <name val="Arial"/>
      <family val="2"/>
    </font>
    <font>
      <b/>
      <sz val="12"/>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sz val="10"/>
      <color theme="10"/>
      <name val="Arial"/>
      <family val="2"/>
    </font>
    <font>
      <b/>
      <sz val="10"/>
      <color theme="1"/>
      <name val="Arial"/>
      <family val="2"/>
    </font>
    <font>
      <sz val="10"/>
      <color rgb="FFFF0000"/>
      <name val="Arial"/>
      <family val="2"/>
    </font>
    <font>
      <b/>
      <sz val="9"/>
      <color rgb="FF00B050"/>
      <name val="Arial"/>
      <family val="2"/>
    </font>
    <font>
      <sz val="10"/>
      <color theme="1"/>
      <name val="Arial"/>
      <family val="2"/>
    </font>
    <font>
      <b/>
      <sz val="10"/>
      <color theme="0"/>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style="thin"/>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style="double"/>
    </border>
    <border>
      <left>
        <color indexed="63"/>
      </left>
      <right>
        <color indexed="63"/>
      </right>
      <top>
        <color indexed="63"/>
      </top>
      <bottom style="double"/>
    </border>
    <border>
      <left>
        <color indexed="63"/>
      </left>
      <right>
        <color indexed="63"/>
      </right>
      <top style="thin"/>
      <bottom style="double"/>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8" fillId="0" borderId="0" applyFont="0" applyBorder="0">
      <alignment/>
      <protection/>
    </xf>
    <xf numFmtId="0" fontId="8" fillId="0" borderId="0" applyFont="0" applyBorder="0">
      <alignment/>
      <protection/>
    </xf>
    <xf numFmtId="0" fontId="22" fillId="32" borderId="0">
      <alignment/>
      <protection/>
    </xf>
    <xf numFmtId="0" fontId="0" fillId="33"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90">
    <xf numFmtId="0" fontId="0" fillId="0" borderId="0" xfId="0" applyAlignment="1">
      <alignment/>
    </xf>
    <xf numFmtId="0" fontId="0" fillId="0" borderId="10" xfId="0" applyFont="1" applyBorder="1" applyAlignment="1">
      <alignment/>
    </xf>
    <xf numFmtId="164" fontId="0" fillId="0" borderId="0" xfId="0" applyNumberFormat="1" applyFont="1" applyAlignment="1">
      <alignment horizontal="left"/>
    </xf>
    <xf numFmtId="164" fontId="0" fillId="0" borderId="0" xfId="0" applyNumberFormat="1" applyFont="1" applyAlignment="1">
      <alignment/>
    </xf>
    <xf numFmtId="0" fontId="1" fillId="0" borderId="11" xfId="0" applyFont="1" applyBorder="1" applyAlignment="1">
      <alignment/>
    </xf>
    <xf numFmtId="164" fontId="0" fillId="0" borderId="12" xfId="0" applyNumberFormat="1" applyFont="1" applyBorder="1" applyAlignment="1">
      <alignment/>
    </xf>
    <xf numFmtId="38" fontId="0" fillId="0" borderId="13" xfId="0" applyNumberFormat="1" applyFont="1" applyBorder="1" applyAlignment="1">
      <alignment/>
    </xf>
    <xf numFmtId="38" fontId="0" fillId="0" borderId="0" xfId="0" applyNumberFormat="1" applyFont="1" applyAlignment="1">
      <alignment/>
    </xf>
    <xf numFmtId="37" fontId="0" fillId="0" borderId="13" xfId="0" applyNumberFormat="1" applyFont="1" applyBorder="1" applyAlignment="1">
      <alignment/>
    </xf>
    <xf numFmtId="166" fontId="0" fillId="0" borderId="0" xfId="0" applyNumberFormat="1" applyFont="1" applyAlignment="1">
      <alignment/>
    </xf>
    <xf numFmtId="166" fontId="0" fillId="0" borderId="13" xfId="0" applyNumberFormat="1" applyFont="1" applyBorder="1" applyAlignment="1">
      <alignment/>
    </xf>
    <xf numFmtId="3" fontId="0" fillId="0" borderId="13"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justify" wrapText="1"/>
    </xf>
    <xf numFmtId="38" fontId="0" fillId="0" borderId="1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38" fontId="0" fillId="0" borderId="13" xfId="0" applyNumberFormat="1" applyFont="1" applyBorder="1" applyAlignment="1" applyProtection="1">
      <alignment/>
      <protection locked="0"/>
    </xf>
    <xf numFmtId="38" fontId="0" fillId="0" borderId="14" xfId="0" applyNumberFormat="1" applyFont="1" applyBorder="1" applyAlignment="1" applyProtection="1">
      <alignment/>
      <protection locked="0"/>
    </xf>
    <xf numFmtId="38" fontId="0" fillId="0" borderId="13" xfId="0" applyNumberFormat="1" applyBorder="1" applyAlignment="1" applyProtection="1">
      <alignment/>
      <protection locked="0"/>
    </xf>
    <xf numFmtId="38" fontId="0" fillId="0" borderId="14" xfId="0" applyNumberFormat="1" applyBorder="1" applyAlignment="1" applyProtection="1">
      <alignment/>
      <protection locked="0"/>
    </xf>
    <xf numFmtId="38" fontId="0" fillId="0" borderId="19" xfId="0" applyNumberFormat="1" applyFont="1" applyBorder="1" applyAlignment="1">
      <alignment horizontal="right"/>
    </xf>
    <xf numFmtId="38" fontId="0" fillId="0" borderId="14" xfId="0" applyNumberFormat="1" applyFont="1" applyBorder="1" applyAlignment="1">
      <alignment horizontal="right"/>
    </xf>
    <xf numFmtId="0" fontId="0" fillId="0" borderId="12" xfId="0" applyFont="1" applyBorder="1" applyAlignment="1">
      <alignment/>
    </xf>
    <xf numFmtId="164" fontId="0" fillId="0" borderId="0" xfId="0" applyNumberFormat="1" applyAlignment="1">
      <alignment horizontal="left"/>
    </xf>
    <xf numFmtId="38" fontId="0" fillId="0" borderId="13" xfId="0" applyNumberFormat="1" applyFont="1" applyBorder="1" applyAlignment="1" applyProtection="1">
      <alignment horizontal="right"/>
      <protection locked="0"/>
    </xf>
    <xf numFmtId="0" fontId="0" fillId="0" borderId="0" xfId="0" applyAlignment="1">
      <alignment horizontal="centerContinuous"/>
    </xf>
    <xf numFmtId="0" fontId="0" fillId="0" borderId="0" xfId="0" applyAlignment="1">
      <alignment horizontal="center"/>
    </xf>
    <xf numFmtId="0" fontId="0" fillId="0" borderId="12" xfId="0" applyFont="1" applyBorder="1" applyAlignment="1">
      <alignment horizontal="center"/>
    </xf>
    <xf numFmtId="0" fontId="1" fillId="0" borderId="0" xfId="0" applyFont="1" applyAlignment="1">
      <alignment horizontal="center"/>
    </xf>
    <xf numFmtId="0" fontId="0" fillId="0" borderId="15" xfId="0" applyBorder="1" applyAlignment="1">
      <alignment/>
    </xf>
    <xf numFmtId="0" fontId="0" fillId="0" borderId="15" xfId="0" applyBorder="1" applyAlignment="1">
      <alignment horizontal="centerContinuous"/>
    </xf>
    <xf numFmtId="49" fontId="0" fillId="0" borderId="0" xfId="0" applyNumberFormat="1" applyAlignment="1">
      <alignment horizontal="right"/>
    </xf>
    <xf numFmtId="0" fontId="0" fillId="0" borderId="0" xfId="0" applyAlignment="1">
      <alignment horizontal="right"/>
    </xf>
    <xf numFmtId="3" fontId="0" fillId="0" borderId="12" xfId="0" applyNumberFormat="1" applyBorder="1" applyAlignment="1" applyProtection="1">
      <alignment/>
      <protection locked="0"/>
    </xf>
    <xf numFmtId="49" fontId="0" fillId="0" borderId="0" xfId="0" applyNumberFormat="1" applyAlignment="1">
      <alignment horizontal="center"/>
    </xf>
    <xf numFmtId="0" fontId="0" fillId="0" borderId="0" xfId="0" applyFont="1" applyAlignment="1">
      <alignment horizontal="right"/>
    </xf>
    <xf numFmtId="3" fontId="0" fillId="0" borderId="12" xfId="0" applyNumberFormat="1" applyFont="1" applyBorder="1" applyAlignment="1" applyProtection="1">
      <alignment/>
      <protection locked="0"/>
    </xf>
    <xf numFmtId="3" fontId="0" fillId="0" borderId="12" xfId="0" applyNumberFormat="1" applyFont="1" applyBorder="1" applyAlignment="1">
      <alignment/>
    </xf>
    <xf numFmtId="0" fontId="0" fillId="0" borderId="15" xfId="0" applyBorder="1" applyAlignment="1">
      <alignment horizontal="center"/>
    </xf>
    <xf numFmtId="0" fontId="0" fillId="0" borderId="0" xfId="0" applyAlignment="1">
      <alignment horizontal="left"/>
    </xf>
    <xf numFmtId="14"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justify" vertical="top" wrapText="1"/>
    </xf>
    <xf numFmtId="0" fontId="0" fillId="0" borderId="12" xfId="0" applyFont="1" applyBorder="1" applyAlignment="1">
      <alignment horizontal="left"/>
    </xf>
    <xf numFmtId="0" fontId="0" fillId="0" borderId="0" xfId="0" applyFont="1" applyAlignment="1">
      <alignment horizontal="centerContinuous"/>
    </xf>
    <xf numFmtId="0" fontId="1" fillId="0" borderId="1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0" xfId="0" applyFont="1" applyBorder="1" applyAlignment="1">
      <alignment horizontal="centerContinuous"/>
    </xf>
    <xf numFmtId="0" fontId="0" fillId="0" borderId="18" xfId="0" applyFont="1" applyBorder="1" applyAlignment="1">
      <alignment horizontal="centerContinuous"/>
    </xf>
    <xf numFmtId="0" fontId="0" fillId="0" borderId="2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Continuous"/>
    </xf>
    <xf numFmtId="0" fontId="0" fillId="0" borderId="16" xfId="0" applyFont="1" applyBorder="1" applyAlignment="1">
      <alignment horizontal="centerContinuous"/>
    </xf>
    <xf numFmtId="0" fontId="0" fillId="0" borderId="15" xfId="0" applyFont="1" applyBorder="1" applyAlignment="1">
      <alignment/>
    </xf>
    <xf numFmtId="0" fontId="0" fillId="0" borderId="22" xfId="0" applyFont="1" applyBorder="1" applyAlignment="1">
      <alignment horizontal="centerContinuous"/>
    </xf>
    <xf numFmtId="0" fontId="0" fillId="0" borderId="17" xfId="0" applyFont="1" applyBorder="1" applyAlignment="1">
      <alignment horizontal="centerContinuous"/>
    </xf>
    <xf numFmtId="0" fontId="0" fillId="0" borderId="23" xfId="0" applyFont="1" applyBorder="1" applyAlignment="1">
      <alignment horizontal="center"/>
    </xf>
    <xf numFmtId="0" fontId="0" fillId="0" borderId="23" xfId="0" applyFont="1" applyBorder="1" applyAlignment="1">
      <alignment/>
    </xf>
    <xf numFmtId="0" fontId="1" fillId="0" borderId="22" xfId="0" applyFont="1" applyBorder="1" applyAlignment="1">
      <alignment/>
    </xf>
    <xf numFmtId="0" fontId="0" fillId="0" borderId="13" xfId="0" applyFont="1" applyBorder="1" applyAlignment="1">
      <alignment horizontal="center"/>
    </xf>
    <xf numFmtId="0" fontId="0" fillId="0" borderId="11" xfId="0" applyFont="1" applyBorder="1" applyAlignment="1">
      <alignment/>
    </xf>
    <xf numFmtId="185" fontId="0" fillId="0" borderId="13" xfId="0" applyNumberFormat="1" applyFont="1" applyBorder="1" applyAlignment="1">
      <alignment/>
    </xf>
    <xf numFmtId="185" fontId="0" fillId="0" borderId="13" xfId="0" applyNumberFormat="1" applyFont="1" applyBorder="1" applyAlignment="1" applyProtection="1">
      <alignment horizontal="right"/>
      <protection locked="0"/>
    </xf>
    <xf numFmtId="164" fontId="0" fillId="0" borderId="11" xfId="0" applyNumberFormat="1" applyFont="1" applyBorder="1" applyAlignment="1">
      <alignment horizontal="left"/>
    </xf>
    <xf numFmtId="185" fontId="0" fillId="0" borderId="14" xfId="0" applyNumberFormat="1" applyFont="1" applyBorder="1" applyAlignment="1" applyProtection="1">
      <alignment/>
      <protection locked="0"/>
    </xf>
    <xf numFmtId="185" fontId="0" fillId="0" borderId="13" xfId="0" applyNumberFormat="1" applyFont="1" applyBorder="1" applyAlignment="1" applyProtection="1">
      <alignment/>
      <protection locked="0"/>
    </xf>
    <xf numFmtId="0" fontId="0" fillId="0" borderId="22" xfId="0" applyFont="1" applyBorder="1" applyAlignment="1">
      <alignment/>
    </xf>
    <xf numFmtId="0" fontId="0" fillId="0" borderId="24"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xf>
    <xf numFmtId="0" fontId="0" fillId="0" borderId="22" xfId="0" applyFont="1" applyBorder="1" applyAlignment="1">
      <alignment horizontal="center"/>
    </xf>
    <xf numFmtId="0" fontId="0" fillId="0" borderId="0" xfId="0" applyFont="1" applyAlignment="1">
      <alignment horizontal="center"/>
    </xf>
    <xf numFmtId="0" fontId="1" fillId="0" borderId="10" xfId="0" applyFont="1" applyBorder="1" applyAlignment="1">
      <alignment horizontal="left"/>
    </xf>
    <xf numFmtId="0" fontId="0" fillId="0" borderId="20" xfId="0" applyFont="1" applyBorder="1" applyAlignment="1">
      <alignment horizontal="centerContinuous"/>
    </xf>
    <xf numFmtId="0" fontId="0" fillId="0" borderId="21" xfId="0" applyFont="1" applyBorder="1" applyAlignment="1">
      <alignment horizontal="centerContinuous"/>
    </xf>
    <xf numFmtId="0" fontId="7" fillId="0" borderId="0" xfId="0" applyFont="1" applyAlignment="1">
      <alignment horizontal="justify" wrapText="1"/>
    </xf>
    <xf numFmtId="49" fontId="0" fillId="0" borderId="0" xfId="0" applyNumberFormat="1" applyFont="1" applyAlignment="1">
      <alignment horizontal="justify" wrapText="1"/>
    </xf>
    <xf numFmtId="49" fontId="0" fillId="0" borderId="0" xfId="0" applyNumberFormat="1" applyFont="1" applyAlignment="1">
      <alignment/>
    </xf>
    <xf numFmtId="0" fontId="0" fillId="0" borderId="0" xfId="0" applyFont="1" applyAlignment="1" applyProtection="1">
      <alignment/>
      <protection locked="0"/>
    </xf>
    <xf numFmtId="0" fontId="0" fillId="0" borderId="0" xfId="0" applyFont="1" applyAlignment="1">
      <alignment/>
    </xf>
    <xf numFmtId="0" fontId="1" fillId="0" borderId="0" xfId="0" applyFont="1" applyAlignment="1">
      <alignment horizontal="centerContinuous"/>
    </xf>
    <xf numFmtId="164" fontId="0" fillId="0" borderId="0" xfId="0" applyNumberFormat="1" applyAlignment="1">
      <alignment horizontal="right"/>
    </xf>
    <xf numFmtId="0" fontId="1" fillId="0" borderId="0" xfId="0" applyFont="1" applyAlignment="1">
      <alignment/>
    </xf>
    <xf numFmtId="165" fontId="0" fillId="0" borderId="12" xfId="0" applyNumberFormat="1" applyBorder="1" applyAlignment="1" applyProtection="1">
      <alignment/>
      <protection locked="0"/>
    </xf>
    <xf numFmtId="165" fontId="0" fillId="0" borderId="0" xfId="0" applyNumberFormat="1" applyAlignment="1">
      <alignment/>
    </xf>
    <xf numFmtId="38" fontId="0" fillId="0" borderId="25" xfId="0" applyNumberFormat="1" applyBorder="1" applyAlignment="1" applyProtection="1">
      <alignment/>
      <protection locked="0"/>
    </xf>
    <xf numFmtId="0" fontId="0" fillId="0" borderId="12" xfId="0" applyFont="1" applyBorder="1" applyAlignment="1">
      <alignment horizontal="centerContinuous"/>
    </xf>
    <xf numFmtId="0" fontId="0" fillId="0" borderId="11" xfId="0" applyFont="1" applyBorder="1" applyAlignment="1">
      <alignment horizontal="left"/>
    </xf>
    <xf numFmtId="38" fontId="0" fillId="0" borderId="17" xfId="0" applyNumberFormat="1" applyFont="1" applyBorder="1" applyAlignment="1" applyProtection="1">
      <alignment/>
      <protection locked="0"/>
    </xf>
    <xf numFmtId="0" fontId="0" fillId="0" borderId="20" xfId="0" applyFont="1" applyBorder="1" applyAlignment="1" applyProtection="1">
      <alignment/>
      <protection locked="0"/>
    </xf>
    <xf numFmtId="38" fontId="0" fillId="34" borderId="13" xfId="0" applyNumberFormat="1" applyFont="1" applyFill="1" applyBorder="1" applyAlignment="1">
      <alignment/>
    </xf>
    <xf numFmtId="38" fontId="0" fillId="0" borderId="21" xfId="0" applyNumberFormat="1" applyFont="1" applyBorder="1" applyAlignment="1">
      <alignment/>
    </xf>
    <xf numFmtId="166" fontId="0" fillId="0" borderId="21" xfId="0" applyNumberFormat="1" applyFont="1" applyBorder="1" applyAlignment="1">
      <alignment/>
    </xf>
    <xf numFmtId="38" fontId="0" fillId="0" borderId="10" xfId="0" applyNumberFormat="1" applyFont="1" applyBorder="1" applyAlignment="1">
      <alignment/>
    </xf>
    <xf numFmtId="166" fontId="0" fillId="0" borderId="14" xfId="0" applyNumberFormat="1" applyFont="1" applyBorder="1" applyAlignment="1">
      <alignment/>
    </xf>
    <xf numFmtId="185" fontId="0" fillId="0" borderId="14" xfId="0" applyNumberFormat="1" applyFont="1" applyBorder="1" applyAlignment="1" applyProtection="1">
      <alignment horizontal="right"/>
      <protection locked="0"/>
    </xf>
    <xf numFmtId="38" fontId="0" fillId="0" borderId="14" xfId="0" applyNumberFormat="1" applyFont="1" applyBorder="1" applyAlignment="1" applyProtection="1">
      <alignment horizontal="right"/>
      <protection locked="0"/>
    </xf>
    <xf numFmtId="166" fontId="0" fillId="0" borderId="14" xfId="62" applyNumberFormat="1" applyFont="1" applyBorder="1" applyAlignment="1">
      <alignment horizontal="right"/>
    </xf>
    <xf numFmtId="0" fontId="0" fillId="0" borderId="12" xfId="0" applyFont="1" applyBorder="1" applyAlignment="1">
      <alignment/>
    </xf>
    <xf numFmtId="0" fontId="0" fillId="0" borderId="19" xfId="0" applyFont="1" applyBorder="1" applyAlignment="1">
      <alignment/>
    </xf>
    <xf numFmtId="0" fontId="0" fillId="0" borderId="14" xfId="0" applyFont="1" applyBorder="1" applyAlignment="1">
      <alignment horizontal="center" wrapText="1"/>
    </xf>
    <xf numFmtId="0" fontId="0" fillId="0" borderId="0" xfId="0" applyFont="1" applyAlignment="1">
      <alignment horizontal="left"/>
    </xf>
    <xf numFmtId="38" fontId="0" fillId="0" borderId="22" xfId="0" applyNumberFormat="1" applyFont="1" applyBorder="1" applyAlignment="1" applyProtection="1">
      <alignment horizontal="right"/>
      <protection locked="0"/>
    </xf>
    <xf numFmtId="38" fontId="0" fillId="0" borderId="19" xfId="0" applyNumberFormat="1" applyFont="1" applyBorder="1" applyAlignment="1" applyProtection="1">
      <alignment horizontal="right"/>
      <protection locked="0"/>
    </xf>
    <xf numFmtId="38" fontId="0" fillId="0" borderId="0" xfId="0" applyNumberFormat="1" applyAlignment="1">
      <alignment/>
    </xf>
    <xf numFmtId="38" fontId="0" fillId="0" borderId="13" xfId="0" applyNumberFormat="1" applyBorder="1" applyAlignment="1" applyProtection="1">
      <alignment vertical="center"/>
      <protection locked="0"/>
    </xf>
    <xf numFmtId="38" fontId="0" fillId="0" borderId="14" xfId="0" applyNumberFormat="1" applyBorder="1" applyAlignment="1" applyProtection="1">
      <alignment vertical="center"/>
      <protection locked="0"/>
    </xf>
    <xf numFmtId="38" fontId="0" fillId="0" borderId="26" xfId="0" applyNumberFormat="1" applyBorder="1" applyAlignment="1" applyProtection="1">
      <alignment vertical="center"/>
      <protection locked="0"/>
    </xf>
    <xf numFmtId="38" fontId="0" fillId="0" borderId="27" xfId="0" applyNumberFormat="1" applyBorder="1" applyAlignment="1">
      <alignment vertical="center"/>
    </xf>
    <xf numFmtId="38" fontId="0" fillId="0" borderId="28" xfId="0" applyNumberFormat="1" applyBorder="1" applyAlignment="1">
      <alignment vertical="center"/>
    </xf>
    <xf numFmtId="164" fontId="0" fillId="0" borderId="0" xfId="0" applyNumberFormat="1" applyAlignment="1">
      <alignment horizontal="right"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164" fontId="0" fillId="0" borderId="0" xfId="0" applyNumberFormat="1" applyAlignment="1">
      <alignment vertical="center"/>
    </xf>
    <xf numFmtId="0" fontId="0" fillId="0" borderId="0" xfId="0" applyFont="1" applyAlignment="1">
      <alignment horizontal="left" vertical="center"/>
    </xf>
    <xf numFmtId="0" fontId="0" fillId="0" borderId="0" xfId="0" applyFont="1" applyAlignment="1">
      <alignment vertical="center"/>
    </xf>
    <xf numFmtId="38" fontId="0" fillId="0" borderId="0" xfId="0" applyNumberFormat="1" applyAlignment="1">
      <alignment vertical="center"/>
    </xf>
    <xf numFmtId="0" fontId="0" fillId="0" borderId="23" xfId="0" applyFont="1" applyBorder="1" applyAlignment="1">
      <alignment horizontal="center" wrapText="1"/>
    </xf>
    <xf numFmtId="0" fontId="0" fillId="0" borderId="21" xfId="0" applyFont="1" applyBorder="1" applyAlignment="1">
      <alignment horizontal="center" wrapText="1"/>
    </xf>
    <xf numFmtId="166" fontId="0" fillId="0" borderId="23" xfId="0" applyNumberFormat="1" applyFont="1" applyBorder="1" applyAlignment="1">
      <alignment/>
    </xf>
    <xf numFmtId="38" fontId="0" fillId="0" borderId="23" xfId="0" applyNumberFormat="1" applyFont="1" applyBorder="1" applyAlignment="1">
      <alignment/>
    </xf>
    <xf numFmtId="166" fontId="0" fillId="0" borderId="21" xfId="62" applyNumberFormat="1" applyFont="1" applyBorder="1" applyAlignment="1">
      <alignment horizontal="right"/>
    </xf>
    <xf numFmtId="166" fontId="0" fillId="0" borderId="13" xfId="62" applyNumberFormat="1" applyFont="1" applyBorder="1" applyAlignment="1">
      <alignment horizontal="right"/>
    </xf>
    <xf numFmtId="38" fontId="0" fillId="0" borderId="22" xfId="0" applyNumberFormat="1" applyFont="1" applyBorder="1" applyAlignment="1" applyProtection="1">
      <alignment/>
      <protection locked="0"/>
    </xf>
    <xf numFmtId="38" fontId="0" fillId="0" borderId="22" xfId="0" applyNumberFormat="1" applyFont="1" applyBorder="1" applyAlignment="1">
      <alignment/>
    </xf>
    <xf numFmtId="38" fontId="0" fillId="0" borderId="11" xfId="0" applyNumberFormat="1" applyFont="1" applyBorder="1" applyAlignment="1" applyProtection="1">
      <alignment/>
      <protection locked="0"/>
    </xf>
    <xf numFmtId="38" fontId="0" fillId="0" borderId="11" xfId="0" applyNumberFormat="1" applyFont="1" applyBorder="1" applyAlignment="1">
      <alignment/>
    </xf>
    <xf numFmtId="166" fontId="0" fillId="0" borderId="23" xfId="62" applyNumberFormat="1" applyFont="1" applyBorder="1" applyAlignment="1">
      <alignment/>
    </xf>
    <xf numFmtId="166" fontId="0" fillId="0" borderId="13" xfId="62" applyNumberFormat="1" applyFont="1" applyBorder="1" applyAlignment="1">
      <alignment/>
    </xf>
    <xf numFmtId="164" fontId="0" fillId="0" borderId="20" xfId="0" applyNumberFormat="1" applyFont="1" applyBorder="1" applyAlignment="1">
      <alignment/>
    </xf>
    <xf numFmtId="185" fontId="0" fillId="0" borderId="17" xfId="0" applyNumberFormat="1" applyFont="1" applyBorder="1" applyAlignment="1" applyProtection="1">
      <alignment/>
      <protection locked="0"/>
    </xf>
    <xf numFmtId="0" fontId="0" fillId="0" borderId="21" xfId="0" applyBorder="1" applyAlignment="1">
      <alignment/>
    </xf>
    <xf numFmtId="185" fontId="0" fillId="0" borderId="18" xfId="0" applyNumberFormat="1" applyFont="1" applyBorder="1" applyAlignment="1">
      <alignment/>
    </xf>
    <xf numFmtId="185" fontId="0" fillId="0" borderId="23" xfId="0" applyNumberFormat="1" applyFont="1" applyBorder="1" applyAlignment="1">
      <alignment/>
    </xf>
    <xf numFmtId="185" fontId="0" fillId="0" borderId="15" xfId="0" applyNumberFormat="1" applyFont="1" applyBorder="1" applyAlignment="1">
      <alignment/>
    </xf>
    <xf numFmtId="0" fontId="0" fillId="0" borderId="10" xfId="0" applyBorder="1" applyAlignment="1">
      <alignment/>
    </xf>
    <xf numFmtId="0" fontId="0" fillId="0" borderId="23" xfId="0" applyBorder="1" applyAlignment="1">
      <alignment/>
    </xf>
    <xf numFmtId="38" fontId="0" fillId="0" borderId="29" xfId="0" applyNumberFormat="1" applyBorder="1" applyAlignment="1">
      <alignment/>
    </xf>
    <xf numFmtId="0" fontId="68" fillId="0" borderId="0" xfId="0" applyFont="1" applyAlignment="1">
      <alignment/>
    </xf>
    <xf numFmtId="0" fontId="68" fillId="0" borderId="0" xfId="0" applyFont="1" applyAlignment="1">
      <alignment horizontal="left"/>
    </xf>
    <xf numFmtId="0" fontId="68" fillId="0" borderId="12" xfId="0" applyFont="1" applyBorder="1" applyAlignment="1">
      <alignment/>
    </xf>
    <xf numFmtId="38" fontId="68" fillId="0" borderId="14" xfId="0" applyNumberFormat="1" applyFont="1" applyBorder="1" applyAlignment="1">
      <alignment/>
    </xf>
    <xf numFmtId="38" fontId="68" fillId="0" borderId="13" xfId="0" applyNumberFormat="1" applyFont="1" applyBorder="1" applyAlignment="1">
      <alignment/>
    </xf>
    <xf numFmtId="0" fontId="68" fillId="0" borderId="21" xfId="0" applyFont="1" applyBorder="1" applyAlignment="1">
      <alignment/>
    </xf>
    <xf numFmtId="38" fontId="68" fillId="0" borderId="13" xfId="0" applyNumberFormat="1" applyFont="1" applyBorder="1" applyAlignment="1">
      <alignment/>
    </xf>
    <xf numFmtId="0" fontId="68" fillId="0" borderId="17" xfId="0" applyFont="1" applyBorder="1" applyAlignment="1">
      <alignment/>
    </xf>
    <xf numFmtId="38" fontId="68" fillId="0" borderId="23" xfId="0" applyNumberFormat="1" applyFont="1" applyBorder="1" applyAlignment="1">
      <alignment/>
    </xf>
    <xf numFmtId="0" fontId="68" fillId="0" borderId="21" xfId="0" applyFont="1" applyBorder="1" applyAlignment="1">
      <alignment/>
    </xf>
    <xf numFmtId="0" fontId="68" fillId="0" borderId="24" xfId="0" applyFont="1" applyBorder="1" applyAlignment="1">
      <alignment/>
    </xf>
    <xf numFmtId="0" fontId="68" fillId="0" borderId="16" xfId="0" applyFont="1" applyBorder="1" applyAlignment="1">
      <alignment/>
    </xf>
    <xf numFmtId="0" fontId="68" fillId="0" borderId="0" xfId="0" applyFont="1" applyAlignment="1">
      <alignment horizontal="right"/>
    </xf>
    <xf numFmtId="0" fontId="68" fillId="0" borderId="21" xfId="0" applyFont="1" applyBorder="1" applyAlignment="1">
      <alignment horizontal="center"/>
    </xf>
    <xf numFmtId="0" fontId="68" fillId="0" borderId="23" xfId="0" applyFont="1" applyBorder="1" applyAlignment="1">
      <alignment horizontal="center"/>
    </xf>
    <xf numFmtId="0" fontId="68" fillId="0" borderId="0" xfId="0" applyFont="1" applyAlignment="1">
      <alignment/>
    </xf>
    <xf numFmtId="38" fontId="68" fillId="0" borderId="21" xfId="0" applyNumberFormat="1" applyFont="1" applyBorder="1" applyAlignment="1">
      <alignment/>
    </xf>
    <xf numFmtId="0" fontId="68" fillId="0" borderId="0" xfId="0" applyFont="1" applyAlignment="1">
      <alignment vertical="center" wrapText="1"/>
    </xf>
    <xf numFmtId="0" fontId="69" fillId="0" borderId="10" xfId="0" applyFont="1" applyBorder="1" applyAlignment="1">
      <alignment/>
    </xf>
    <xf numFmtId="0" fontId="68" fillId="0" borderId="20" xfId="0" applyFont="1" applyBorder="1" applyAlignment="1">
      <alignment/>
    </xf>
    <xf numFmtId="0" fontId="68" fillId="0" borderId="11" xfId="0" applyFont="1" applyBorder="1" applyAlignment="1">
      <alignment/>
    </xf>
    <xf numFmtId="0" fontId="68" fillId="0" borderId="15" xfId="0" applyFont="1" applyBorder="1" applyAlignment="1">
      <alignment horizontal="center"/>
    </xf>
    <xf numFmtId="0" fontId="68" fillId="0" borderId="17" xfId="0" applyFont="1" applyBorder="1" applyAlignment="1">
      <alignment horizontal="center"/>
    </xf>
    <xf numFmtId="166" fontId="0" fillId="0" borderId="21" xfId="0" applyNumberFormat="1" applyFont="1" applyBorder="1" applyAlignment="1">
      <alignment/>
    </xf>
    <xf numFmtId="166" fontId="0" fillId="0" borderId="13" xfId="0" applyNumberFormat="1" applyFont="1" applyBorder="1" applyAlignment="1">
      <alignment/>
    </xf>
    <xf numFmtId="0" fontId="68" fillId="0" borderId="22" xfId="0" applyFont="1" applyBorder="1" applyAlignment="1">
      <alignment/>
    </xf>
    <xf numFmtId="166" fontId="0" fillId="0" borderId="14" xfId="0" applyNumberFormat="1" applyFont="1" applyBorder="1" applyAlignment="1">
      <alignment/>
    </xf>
    <xf numFmtId="166" fontId="0" fillId="0" borderId="23" xfId="0" applyNumberFormat="1" applyFont="1" applyBorder="1" applyAlignment="1">
      <alignment/>
    </xf>
    <xf numFmtId="0" fontId="68" fillId="0" borderId="19" xfId="0" applyFont="1" applyBorder="1" applyAlignment="1">
      <alignment/>
    </xf>
    <xf numFmtId="0" fontId="68" fillId="0" borderId="10" xfId="0" applyFont="1" applyBorder="1" applyAlignment="1">
      <alignment/>
    </xf>
    <xf numFmtId="0" fontId="68" fillId="0" borderId="18" xfId="0" applyFont="1" applyBorder="1" applyAlignment="1">
      <alignment/>
    </xf>
    <xf numFmtId="0" fontId="69" fillId="0" borderId="11" xfId="0" applyFont="1" applyBorder="1" applyAlignment="1">
      <alignment horizontal="left"/>
    </xf>
    <xf numFmtId="0" fontId="69" fillId="0" borderId="22" xfId="0" applyFont="1" applyBorder="1" applyAlignment="1">
      <alignment horizontal="left"/>
    </xf>
    <xf numFmtId="0" fontId="68" fillId="0" borderId="11" xfId="0" applyFont="1" applyBorder="1" applyAlignment="1">
      <alignment horizontal="left"/>
    </xf>
    <xf numFmtId="0" fontId="69" fillId="0" borderId="11" xfId="0" applyFont="1" applyBorder="1" applyAlignment="1">
      <alignment/>
    </xf>
    <xf numFmtId="0" fontId="69" fillId="0" borderId="0" xfId="0" applyFont="1" applyAlignment="1">
      <alignment horizontal="left"/>
    </xf>
    <xf numFmtId="0" fontId="68" fillId="0" borderId="15" xfId="0" applyFont="1" applyBorder="1" applyAlignment="1">
      <alignment/>
    </xf>
    <xf numFmtId="0" fontId="69" fillId="0" borderId="12" xfId="0" applyFont="1" applyBorder="1" applyAlignment="1">
      <alignment horizontal="left"/>
    </xf>
    <xf numFmtId="164" fontId="0" fillId="0" borderId="0" xfId="0" applyNumberFormat="1" applyAlignment="1">
      <alignment vertical="top"/>
    </xf>
    <xf numFmtId="166" fontId="0" fillId="0" borderId="15" xfId="0" applyNumberFormat="1" applyFont="1" applyBorder="1" applyAlignment="1">
      <alignment/>
    </xf>
    <xf numFmtId="38" fontId="68" fillId="0" borderId="22" xfId="0" applyNumberFormat="1" applyFont="1" applyBorder="1" applyAlignment="1">
      <alignment/>
    </xf>
    <xf numFmtId="0" fontId="68" fillId="0" borderId="10" xfId="0" applyFont="1" applyBorder="1" applyAlignment="1">
      <alignment/>
    </xf>
    <xf numFmtId="0" fontId="68" fillId="0" borderId="21" xfId="0" applyFont="1" applyBorder="1" applyAlignment="1">
      <alignment/>
    </xf>
    <xf numFmtId="38" fontId="68" fillId="0" borderId="11" xfId="0" applyNumberFormat="1" applyFont="1" applyBorder="1" applyAlignment="1">
      <alignment/>
    </xf>
    <xf numFmtId="0" fontId="9" fillId="0" borderId="0" xfId="57" applyFont="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70" fillId="0" borderId="0" xfId="53" applyFont="1" applyAlignment="1" applyProtection="1">
      <alignment horizontal="centerContinuous"/>
      <protection/>
    </xf>
    <xf numFmtId="0" fontId="71" fillId="0" borderId="0" xfId="53" applyFont="1" applyAlignment="1" applyProtection="1">
      <alignment horizontal="centerContinuous"/>
      <protection/>
    </xf>
    <xf numFmtId="0" fontId="9" fillId="0" borderId="0" xfId="57" applyFont="1" applyAlignment="1">
      <alignment horizontal="center" vertical="top"/>
      <protection/>
    </xf>
    <xf numFmtId="0" fontId="0" fillId="0" borderId="0" xfId="0" applyFont="1" applyAlignment="1">
      <alignment horizontal="center" vertical="top" wrapText="1"/>
    </xf>
    <xf numFmtId="0" fontId="72" fillId="0" borderId="0" xfId="0" applyFont="1" applyAlignment="1">
      <alignment/>
    </xf>
    <xf numFmtId="0" fontId="72" fillId="0" borderId="0" xfId="0" applyFont="1" applyAlignment="1">
      <alignment/>
    </xf>
    <xf numFmtId="0" fontId="72" fillId="0" borderId="0" xfId="0" applyFont="1" applyAlignment="1">
      <alignment horizontal="centerContinuous"/>
    </xf>
    <xf numFmtId="49" fontId="0" fillId="0" borderId="12" xfId="0" applyNumberFormat="1" applyFont="1" applyBorder="1" applyAlignment="1" applyProtection="1">
      <alignment horizontal="center"/>
      <protection locked="0"/>
    </xf>
    <xf numFmtId="0" fontId="70" fillId="35" borderId="20" xfId="53" applyFont="1" applyFill="1" applyBorder="1" applyAlignment="1" applyProtection="1">
      <alignment/>
      <protection/>
    </xf>
    <xf numFmtId="0" fontId="70" fillId="35" borderId="0" xfId="53" applyFont="1" applyFill="1" applyAlignment="1" applyProtection="1">
      <alignment/>
      <protection/>
    </xf>
    <xf numFmtId="0" fontId="71" fillId="35" borderId="0" xfId="53" applyFont="1" applyFill="1" applyAlignment="1" applyProtection="1">
      <alignment/>
      <protection/>
    </xf>
    <xf numFmtId="0" fontId="71" fillId="35" borderId="0" xfId="53" applyFont="1" applyFill="1" applyAlignment="1" applyProtection="1">
      <alignment horizontal="centerContinuous"/>
      <protection/>
    </xf>
    <xf numFmtId="0" fontId="70" fillId="35" borderId="12" xfId="53" applyFont="1" applyFill="1" applyBorder="1" applyAlignment="1" applyProtection="1">
      <alignment/>
      <protection/>
    </xf>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73" fillId="0" borderId="0" xfId="53" applyFont="1" applyAlignment="1" applyProtection="1">
      <alignment horizontal="center" vertical="top"/>
      <protection/>
    </xf>
    <xf numFmtId="0" fontId="73" fillId="35" borderId="23" xfId="53" applyFont="1" applyFill="1" applyBorder="1" applyAlignment="1" applyProtection="1">
      <alignment horizontal="center"/>
      <protection/>
    </xf>
    <xf numFmtId="0" fontId="73" fillId="35" borderId="12" xfId="53" applyFont="1" applyFill="1" applyBorder="1" applyAlignment="1" applyProtection="1">
      <alignment/>
      <protection/>
    </xf>
    <xf numFmtId="0" fontId="74" fillId="35" borderId="0" xfId="53" applyFont="1" applyFill="1" applyAlignment="1" applyProtection="1">
      <alignment horizontal="centerContinuous"/>
      <protection/>
    </xf>
    <xf numFmtId="0" fontId="74" fillId="35" borderId="0" xfId="53" applyFont="1" applyFill="1" applyAlignment="1" applyProtection="1">
      <alignment horizontal="left" vertical="center"/>
      <protection/>
    </xf>
    <xf numFmtId="0" fontId="73" fillId="35" borderId="11" xfId="53" applyFont="1" applyFill="1" applyBorder="1" applyAlignment="1" applyProtection="1">
      <alignment/>
      <protection/>
    </xf>
    <xf numFmtId="0" fontId="73" fillId="35" borderId="10" xfId="53" applyFont="1" applyFill="1" applyBorder="1" applyAlignment="1" applyProtection="1">
      <alignment/>
      <protection/>
    </xf>
    <xf numFmtId="164" fontId="0" fillId="0" borderId="16" xfId="0" applyNumberFormat="1" applyBorder="1" applyAlignment="1">
      <alignment/>
    </xf>
    <xf numFmtId="0" fontId="73" fillId="35" borderId="0" xfId="53" applyFont="1" applyFill="1" applyAlignment="1" applyProtection="1">
      <alignment vertical="center"/>
      <protection/>
    </xf>
    <xf numFmtId="164" fontId="0" fillId="0" borderId="0" xfId="0" applyNumberFormat="1" applyAlignment="1">
      <alignment/>
    </xf>
    <xf numFmtId="0" fontId="74" fillId="35" borderId="0" xfId="53" applyFont="1" applyFill="1" applyAlignment="1" applyProtection="1">
      <alignment horizontal="centerContinuous" vertical="center"/>
      <protection/>
    </xf>
    <xf numFmtId="38" fontId="0" fillId="0" borderId="0" xfId="0" applyNumberFormat="1" applyFont="1" applyAlignment="1">
      <alignment/>
    </xf>
    <xf numFmtId="0" fontId="12" fillId="35" borderId="0" xfId="53" applyFont="1" applyFill="1" applyAlignment="1" applyProtection="1">
      <alignment horizontal="centerContinuous"/>
      <protection/>
    </xf>
    <xf numFmtId="0" fontId="73" fillId="0" borderId="0" xfId="53" applyFont="1" applyAlignment="1" applyProtection="1">
      <alignment horizontal="center" vertical="top" wrapText="1"/>
      <protection/>
    </xf>
    <xf numFmtId="0" fontId="0" fillId="0" borderId="23" xfId="0" applyFont="1" applyBorder="1" applyAlignment="1">
      <alignment horizontal="center"/>
    </xf>
    <xf numFmtId="0" fontId="0" fillId="0" borderId="21" xfId="0" applyFont="1" applyBorder="1" applyAlignment="1">
      <alignment horizontal="center"/>
    </xf>
    <xf numFmtId="38" fontId="68" fillId="0" borderId="0" xfId="0" applyNumberFormat="1" applyFont="1" applyAlignment="1">
      <alignment/>
    </xf>
    <xf numFmtId="166" fontId="0" fillId="0" borderId="0" xfId="0" applyNumberFormat="1" applyFont="1" applyAlignment="1">
      <alignment/>
    </xf>
    <xf numFmtId="0" fontId="0" fillId="0" borderId="0" xfId="0" applyFont="1" applyAlignment="1">
      <alignment horizontal="justify" vertical="top" wrapText="1"/>
    </xf>
    <xf numFmtId="38" fontId="0" fillId="0" borderId="21" xfId="0" applyNumberFormat="1" applyBorder="1" applyAlignment="1" applyProtection="1">
      <alignment vertical="center"/>
      <protection locked="0"/>
    </xf>
    <xf numFmtId="38" fontId="0" fillId="34" borderId="23" xfId="0" applyNumberFormat="1" applyFont="1" applyFill="1" applyBorder="1" applyAlignment="1">
      <alignment/>
    </xf>
    <xf numFmtId="0" fontId="73" fillId="0" borderId="0" xfId="53" applyFont="1" applyAlignment="1" applyProtection="1">
      <alignment vertical="center"/>
      <protection/>
    </xf>
    <xf numFmtId="38" fontId="0" fillId="0" borderId="0" xfId="0" applyNumberFormat="1" applyFont="1" applyAlignment="1">
      <alignment vertical="center" readingOrder="1"/>
    </xf>
    <xf numFmtId="38" fontId="0" fillId="0" borderId="0" xfId="0" applyNumberFormat="1" applyAlignment="1">
      <alignment vertical="center" readingOrder="1"/>
    </xf>
    <xf numFmtId="0" fontId="73" fillId="0" borderId="0" xfId="53" applyFont="1" applyAlignment="1" applyProtection="1">
      <alignment vertical="center"/>
      <protection/>
    </xf>
    <xf numFmtId="0" fontId="0" fillId="35" borderId="0" xfId="0" applyFill="1" applyAlignment="1">
      <alignment vertical="center"/>
    </xf>
    <xf numFmtId="38" fontId="0" fillId="35" borderId="0" xfId="0" applyNumberFormat="1" applyFill="1" applyAlignment="1">
      <alignment vertical="center"/>
    </xf>
    <xf numFmtId="38" fontId="0" fillId="0" borderId="14" xfId="0" applyNumberFormat="1" applyBorder="1" applyAlignment="1">
      <alignment vertical="center"/>
    </xf>
    <xf numFmtId="0" fontId="68" fillId="0" borderId="0" xfId="0" applyFont="1" applyAlignment="1">
      <alignment horizontal="center"/>
    </xf>
    <xf numFmtId="38" fontId="0" fillId="34" borderId="21" xfId="0" applyNumberFormat="1" applyFont="1" applyFill="1" applyBorder="1" applyAlignment="1">
      <alignment/>
    </xf>
    <xf numFmtId="38" fontId="0" fillId="34" borderId="14" xfId="0" applyNumberFormat="1" applyFont="1" applyFill="1" applyBorder="1" applyAlignment="1">
      <alignment/>
    </xf>
    <xf numFmtId="38" fontId="0" fillId="34" borderId="10" xfId="0" applyNumberFormat="1" applyFont="1" applyFill="1" applyBorder="1" applyAlignment="1">
      <alignment/>
    </xf>
    <xf numFmtId="38" fontId="0" fillId="34" borderId="11" xfId="0" applyNumberFormat="1" applyFont="1" applyFill="1" applyBorder="1" applyAlignment="1">
      <alignment/>
    </xf>
    <xf numFmtId="38" fontId="0" fillId="34" borderId="22" xfId="0" applyNumberFormat="1" applyFont="1" applyFill="1" applyBorder="1" applyAlignment="1">
      <alignment/>
    </xf>
    <xf numFmtId="0" fontId="73" fillId="35" borderId="20" xfId="53" applyFont="1" applyFill="1" applyBorder="1" applyAlignment="1" applyProtection="1">
      <alignment/>
      <protection/>
    </xf>
    <xf numFmtId="165" fontId="0" fillId="0" borderId="24" xfId="0" applyNumberFormat="1" applyBorder="1" applyAlignment="1" applyProtection="1">
      <alignment/>
      <protection locked="0"/>
    </xf>
    <xf numFmtId="0" fontId="71" fillId="0" borderId="0" xfId="53" applyFont="1" applyAlignment="1" applyProtection="1">
      <alignment/>
      <protection/>
    </xf>
    <xf numFmtId="164" fontId="0" fillId="0" borderId="0" xfId="0" applyNumberFormat="1" applyFont="1" applyAlignment="1" quotePrefix="1">
      <alignment horizontal="right" vertical="center"/>
    </xf>
    <xf numFmtId="0" fontId="0" fillId="0" borderId="0" xfId="0" applyFont="1" applyAlignment="1">
      <alignment wrapText="1"/>
    </xf>
    <xf numFmtId="0" fontId="0" fillId="0" borderId="0" xfId="0" applyAlignment="1">
      <alignment vertical="top" wrapText="1"/>
    </xf>
    <xf numFmtId="0" fontId="0" fillId="0" borderId="0" xfId="0" applyFont="1" applyAlignment="1" quotePrefix="1">
      <alignment/>
    </xf>
    <xf numFmtId="0" fontId="74" fillId="0" borderId="0" xfId="53" applyFont="1" applyAlignment="1" applyProtection="1">
      <alignment horizontal="centerContinuous" vertical="center"/>
      <protection/>
    </xf>
    <xf numFmtId="0" fontId="74" fillId="0" borderId="0" xfId="53" applyFont="1" applyAlignment="1" applyProtection="1">
      <alignment horizontal="centerContinuous"/>
      <protection/>
    </xf>
    <xf numFmtId="0" fontId="74" fillId="0" borderId="0" xfId="53" applyFont="1" applyAlignment="1" applyProtection="1">
      <alignment horizontal="left" vertical="center"/>
      <protection/>
    </xf>
    <xf numFmtId="38" fontId="0" fillId="0" borderId="14" xfId="0" applyNumberFormat="1" applyFont="1" applyBorder="1" applyAlignment="1">
      <alignment/>
    </xf>
    <xf numFmtId="3" fontId="0" fillId="0" borderId="12" xfId="0" applyNumberFormat="1" applyFont="1" applyBorder="1" applyAlignment="1" applyProtection="1" quotePrefix="1">
      <alignment/>
      <protection locked="0"/>
    </xf>
    <xf numFmtId="0" fontId="75" fillId="0" borderId="0" xfId="0" applyFont="1" applyAlignment="1">
      <alignment/>
    </xf>
    <xf numFmtId="0" fontId="6" fillId="0" borderId="0" xfId="53" applyAlignment="1" applyProtection="1">
      <alignment horizontal="justify" vertical="top" wrapText="1"/>
      <protection/>
    </xf>
    <xf numFmtId="0" fontId="11" fillId="0" borderId="0" xfId="53" applyFont="1" applyAlignment="1" applyProtection="1">
      <alignment/>
      <protection/>
    </xf>
    <xf numFmtId="166" fontId="0" fillId="0" borderId="14" xfId="0" applyNumberFormat="1" applyFont="1" applyBorder="1" applyAlignment="1">
      <alignment horizontal="right"/>
    </xf>
    <xf numFmtId="0" fontId="0" fillId="0" borderId="11" xfId="0" applyBorder="1" applyAlignment="1">
      <alignment/>
    </xf>
    <xf numFmtId="3" fontId="0" fillId="0" borderId="0" xfId="0" applyNumberFormat="1" applyAlignment="1">
      <alignment/>
    </xf>
    <xf numFmtId="3" fontId="0" fillId="0" borderId="0" xfId="0" applyNumberFormat="1" applyFont="1" applyAlignment="1">
      <alignment/>
    </xf>
    <xf numFmtId="166" fontId="0" fillId="0" borderId="24" xfId="0" applyNumberFormat="1" applyBorder="1" applyAlignment="1">
      <alignment horizontal="right" vertical="top"/>
    </xf>
    <xf numFmtId="0" fontId="16" fillId="0" borderId="0" xfId="0" applyFont="1" applyAlignment="1">
      <alignment vertical="center"/>
    </xf>
    <xf numFmtId="0" fontId="76" fillId="0" borderId="0" xfId="0" applyFont="1" applyAlignment="1">
      <alignment/>
    </xf>
    <xf numFmtId="49" fontId="0" fillId="0" borderId="12" xfId="0" applyNumberFormat="1" applyBorder="1" applyAlignment="1">
      <alignment/>
    </xf>
    <xf numFmtId="0" fontId="0" fillId="0" borderId="0" xfId="0" applyFont="1" applyAlignment="1">
      <alignment horizontal="right"/>
    </xf>
    <xf numFmtId="49" fontId="0" fillId="0" borderId="0" xfId="0" applyNumberFormat="1" applyAlignment="1">
      <alignment/>
    </xf>
    <xf numFmtId="0" fontId="0" fillId="0" borderId="14" xfId="0" applyFont="1" applyBorder="1" applyAlignment="1" applyProtection="1">
      <alignment/>
      <protection locked="0"/>
    </xf>
    <xf numFmtId="49" fontId="0" fillId="0" borderId="0" xfId="0" applyNumberFormat="1" applyAlignment="1">
      <alignment horizontal="left" vertical="top"/>
    </xf>
    <xf numFmtId="0" fontId="11" fillId="0" borderId="0" xfId="53" applyFont="1" applyAlignment="1" applyProtection="1">
      <alignment horizontal="center" vertical="top" wrapText="1"/>
      <protection/>
    </xf>
    <xf numFmtId="0" fontId="76" fillId="0" borderId="0" xfId="0" applyFont="1" applyAlignment="1">
      <alignment vertical="center"/>
    </xf>
    <xf numFmtId="0" fontId="77" fillId="0" borderId="0" xfId="0" applyFont="1" applyAlignment="1">
      <alignment/>
    </xf>
    <xf numFmtId="0" fontId="77" fillId="0" borderId="0" xfId="0" applyFont="1" applyAlignment="1">
      <alignment/>
    </xf>
    <xf numFmtId="0" fontId="76" fillId="0" borderId="0" xfId="0" applyFont="1" applyAlignment="1">
      <alignment/>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lignment/>
    </xf>
    <xf numFmtId="49" fontId="0" fillId="0" borderId="12" xfId="0" applyNumberFormat="1" applyBorder="1" applyAlignment="1">
      <alignment horizontal="left"/>
    </xf>
    <xf numFmtId="0" fontId="20" fillId="0" borderId="0" xfId="58" applyFont="1">
      <alignment/>
      <protection/>
    </xf>
    <xf numFmtId="0" fontId="0" fillId="0" borderId="24" xfId="0" applyFont="1" applyBorder="1" applyAlignment="1">
      <alignment/>
    </xf>
    <xf numFmtId="0" fontId="0" fillId="0" borderId="22" xfId="0" applyFont="1" applyBorder="1" applyAlignment="1">
      <alignment/>
    </xf>
    <xf numFmtId="0" fontId="73" fillId="0" borderId="30" xfId="0" applyFont="1" applyBorder="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1" fillId="0" borderId="0" xfId="0" applyFont="1" applyAlignment="1">
      <alignment vertical="top"/>
    </xf>
    <xf numFmtId="0" fontId="0" fillId="0" borderId="0" xfId="0" applyFont="1" applyAlignment="1">
      <alignment horizontal="left" vertical="top" wrapText="1"/>
    </xf>
    <xf numFmtId="164" fontId="0" fillId="0" borderId="0" xfId="0" applyNumberFormat="1" applyFont="1" applyAlignment="1">
      <alignment/>
    </xf>
    <xf numFmtId="0" fontId="78" fillId="36" borderId="31" xfId="53" applyFont="1" applyFill="1" applyBorder="1" applyAlignment="1" applyProtection="1">
      <alignment horizontal="left"/>
      <protection/>
    </xf>
    <xf numFmtId="0" fontId="78" fillId="36" borderId="31" xfId="53" applyFont="1" applyFill="1" applyBorder="1" applyAlignment="1" applyProtection="1">
      <alignment/>
      <protection/>
    </xf>
    <xf numFmtId="0" fontId="1" fillId="0" borderId="0" xfId="0" applyFont="1" applyAlignment="1">
      <alignment horizontal="right"/>
    </xf>
    <xf numFmtId="0" fontId="1" fillId="0" borderId="0" xfId="0" applyFont="1" applyAlignment="1">
      <alignment horizontal="center"/>
    </xf>
    <xf numFmtId="0" fontId="79" fillId="0" borderId="0" xfId="0" applyFont="1" applyAlignment="1">
      <alignment horizontal="left"/>
    </xf>
    <xf numFmtId="0" fontId="76" fillId="36" borderId="19" xfId="0" applyFont="1" applyFill="1" applyBorder="1" applyAlignment="1">
      <alignment/>
    </xf>
    <xf numFmtId="0" fontId="0" fillId="36" borderId="19" xfId="0" applyFont="1" applyFill="1" applyBorder="1" applyAlignment="1">
      <alignment/>
    </xf>
    <xf numFmtId="0" fontId="79" fillId="0" borderId="0" xfId="0" applyFont="1" applyAlignment="1">
      <alignment/>
    </xf>
    <xf numFmtId="0" fontId="78" fillId="36" borderId="0" xfId="53" applyFont="1" applyFill="1" applyAlignment="1" applyProtection="1">
      <alignment horizontal="left"/>
      <protection/>
    </xf>
    <xf numFmtId="0" fontId="78" fillId="36" borderId="32" xfId="53" applyFont="1" applyFill="1" applyBorder="1" applyAlignment="1" applyProtection="1">
      <alignment horizontal="left"/>
      <protection/>
    </xf>
    <xf numFmtId="0" fontId="0" fillId="36" borderId="19" xfId="0" applyFont="1" applyFill="1" applyBorder="1" applyAlignment="1">
      <alignment horizontal="center"/>
    </xf>
    <xf numFmtId="0" fontId="0" fillId="0" borderId="0" xfId="0" applyFont="1" applyAlignment="1">
      <alignment horizontal="left" vertical="center"/>
    </xf>
    <xf numFmtId="0" fontId="0" fillId="0" borderId="0" xfId="58" applyFont="1">
      <alignment/>
      <protection/>
    </xf>
    <xf numFmtId="0" fontId="0" fillId="0" borderId="0" xfId="58" applyFont="1" applyAlignment="1">
      <alignment vertical="top"/>
      <protection/>
    </xf>
    <xf numFmtId="0" fontId="73" fillId="0" borderId="0" xfId="0" applyFont="1" applyAlignment="1">
      <alignment/>
    </xf>
    <xf numFmtId="0" fontId="73" fillId="36" borderId="0" xfId="53" applyFont="1" applyFill="1" applyAlignment="1" applyProtection="1">
      <alignment/>
      <protection/>
    </xf>
    <xf numFmtId="0" fontId="0" fillId="36" borderId="0" xfId="0" applyFont="1" applyFill="1" applyAlignment="1">
      <alignment/>
    </xf>
    <xf numFmtId="0" fontId="19" fillId="0" borderId="0" xfId="0" applyFont="1" applyAlignment="1">
      <alignment/>
    </xf>
    <xf numFmtId="0" fontId="0" fillId="0" borderId="19" xfId="0" applyFont="1" applyBorder="1" applyAlignment="1">
      <alignment horizontal="center"/>
    </xf>
    <xf numFmtId="176" fontId="0" fillId="0" borderId="22" xfId="0" applyNumberFormat="1"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12" xfId="0" applyFont="1" applyBorder="1" applyAlignment="1" quotePrefix="1">
      <alignment/>
    </xf>
    <xf numFmtId="0" fontId="0" fillId="37" borderId="22" xfId="0" applyFont="1" applyFill="1" applyBorder="1" applyAlignment="1">
      <alignment horizontal="center"/>
    </xf>
    <xf numFmtId="0" fontId="0" fillId="37" borderId="16" xfId="0" applyFont="1" applyFill="1" applyBorder="1" applyAlignment="1">
      <alignment horizontal="center"/>
    </xf>
    <xf numFmtId="0" fontId="0" fillId="37" borderId="19" xfId="0" applyFont="1" applyFill="1" applyBorder="1" applyAlignment="1">
      <alignment/>
    </xf>
    <xf numFmtId="0" fontId="0" fillId="37" borderId="16" xfId="0" applyFont="1" applyFill="1" applyBorder="1" applyAlignment="1">
      <alignment/>
    </xf>
    <xf numFmtId="0" fontId="1" fillId="0" borderId="0" xfId="58" applyFont="1">
      <alignment/>
      <protection/>
    </xf>
    <xf numFmtId="164" fontId="0" fillId="0" borderId="0" xfId="58" applyNumberFormat="1" applyFont="1">
      <alignment/>
      <protection/>
    </xf>
    <xf numFmtId="0" fontId="1" fillId="0" borderId="0" xfId="58" applyFont="1" applyAlignment="1">
      <alignment horizontal="right"/>
      <protection/>
    </xf>
    <xf numFmtId="0" fontId="1" fillId="0" borderId="0" xfId="58" applyFont="1" applyAlignment="1">
      <alignment horizontal="center"/>
      <protection/>
    </xf>
    <xf numFmtId="49" fontId="1" fillId="0" borderId="0" xfId="58" applyNumberFormat="1" applyFont="1" applyAlignment="1">
      <alignment horizontal="center"/>
      <protection/>
    </xf>
    <xf numFmtId="0" fontId="0" fillId="0" borderId="14" xfId="58" applyFont="1" applyBorder="1" applyAlignment="1">
      <alignment horizontal="center"/>
      <protection/>
    </xf>
    <xf numFmtId="172" fontId="0" fillId="0" borderId="14" xfId="58" applyNumberFormat="1" applyFont="1" applyBorder="1">
      <alignment/>
      <protection/>
    </xf>
    <xf numFmtId="0" fontId="0" fillId="0" borderId="0" xfId="58" applyFont="1" applyAlignment="1">
      <alignment horizontal="left" vertical="top" wrapText="1"/>
      <protection/>
    </xf>
    <xf numFmtId="0" fontId="0" fillId="0" borderId="19" xfId="0" applyFont="1" applyBorder="1" applyAlignment="1">
      <alignment horizontal="left"/>
    </xf>
    <xf numFmtId="0" fontId="80" fillId="0" borderId="0" xfId="0" applyFont="1" applyAlignment="1">
      <alignment/>
    </xf>
    <xf numFmtId="0" fontId="0" fillId="0" borderId="22" xfId="0" applyFont="1" applyBorder="1" applyAlignment="1">
      <alignment horizontal="left"/>
    </xf>
    <xf numFmtId="0" fontId="0" fillId="0" borderId="30" xfId="0" applyFont="1" applyBorder="1" applyAlignment="1">
      <alignment horizontal="left"/>
    </xf>
    <xf numFmtId="0" fontId="0" fillId="0" borderId="0" xfId="58" applyFont="1" applyAlignment="1">
      <alignment horizontal="center" wrapText="1"/>
      <protection/>
    </xf>
    <xf numFmtId="164" fontId="0" fillId="0" borderId="0" xfId="58" applyNumberFormat="1" applyFont="1" applyAlignment="1" quotePrefix="1">
      <alignment horizontal="left"/>
      <protection/>
    </xf>
    <xf numFmtId="164" fontId="0" fillId="0" borderId="0" xfId="58" applyNumberFormat="1" applyFont="1" applyAlignment="1">
      <alignment horizontal="left"/>
      <protection/>
    </xf>
    <xf numFmtId="172" fontId="0" fillId="0" borderId="0" xfId="0" applyNumberFormat="1" applyFont="1" applyAlignment="1">
      <alignment horizontal="right"/>
    </xf>
    <xf numFmtId="172" fontId="0" fillId="0" borderId="0" xfId="58" applyNumberFormat="1" applyFont="1">
      <alignment/>
      <protection/>
    </xf>
    <xf numFmtId="0" fontId="0" fillId="0" borderId="0" xfId="58" applyFont="1" applyAlignment="1">
      <alignment horizontal="right"/>
      <protection/>
    </xf>
    <xf numFmtId="0" fontId="1" fillId="0" borderId="12" xfId="58" applyFont="1" applyBorder="1" applyAlignment="1">
      <alignment horizontal="center"/>
      <protection/>
    </xf>
    <xf numFmtId="0" fontId="20" fillId="0" borderId="0" xfId="58" applyFont="1" quotePrefix="1">
      <alignment/>
      <protection/>
    </xf>
    <xf numFmtId="39" fontId="20" fillId="0" borderId="0" xfId="44" applyNumberFormat="1" applyFont="1" applyAlignment="1">
      <alignment/>
    </xf>
    <xf numFmtId="4" fontId="0" fillId="0" borderId="24" xfId="0" applyNumberFormat="1" applyFont="1" applyBorder="1" applyAlignment="1">
      <alignment/>
    </xf>
    <xf numFmtId="0" fontId="21" fillId="0" borderId="0" xfId="58" applyFont="1" applyAlignment="1">
      <alignment wrapText="1"/>
      <protection/>
    </xf>
    <xf numFmtId="0" fontId="21" fillId="0" borderId="0" xfId="58" applyFont="1" applyAlignment="1">
      <alignment horizontal="left" wrapText="1"/>
      <protection/>
    </xf>
    <xf numFmtId="0" fontId="21" fillId="0" borderId="0" xfId="58" applyFont="1">
      <alignment/>
      <protection/>
    </xf>
    <xf numFmtId="0" fontId="20" fillId="0" borderId="0" xfId="58" applyFont="1" applyAlignment="1">
      <alignment horizontal="center"/>
      <protection/>
    </xf>
    <xf numFmtId="4" fontId="0" fillId="0" borderId="12" xfId="0" applyNumberFormat="1" applyFont="1" applyBorder="1" applyAlignment="1">
      <alignment/>
    </xf>
    <xf numFmtId="4" fontId="0" fillId="0" borderId="35" xfId="0" applyNumberFormat="1" applyFont="1" applyBorder="1" applyAlignment="1">
      <alignment/>
    </xf>
    <xf numFmtId="4" fontId="0" fillId="0" borderId="0" xfId="0" applyNumberFormat="1" applyFont="1" applyAlignment="1">
      <alignment/>
    </xf>
    <xf numFmtId="0" fontId="20" fillId="0" borderId="0" xfId="58" applyFont="1" applyAlignment="1">
      <alignment horizontal="right"/>
      <protection/>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Continuous"/>
    </xf>
    <xf numFmtId="0" fontId="0" fillId="0" borderId="22" xfId="0" applyFont="1" applyBorder="1" applyAlignment="1">
      <alignment horizontal="center"/>
    </xf>
    <xf numFmtId="0" fontId="0" fillId="0" borderId="32" xfId="0" applyFont="1" applyBorder="1" applyAlignment="1">
      <alignment/>
    </xf>
    <xf numFmtId="0" fontId="0" fillId="0" borderId="11" xfId="0" applyFont="1" applyBorder="1" applyAlignment="1">
      <alignment/>
    </xf>
    <xf numFmtId="0" fontId="0" fillId="0" borderId="31" xfId="0" applyFont="1" applyBorder="1" applyAlignment="1">
      <alignment/>
    </xf>
    <xf numFmtId="0" fontId="0" fillId="0" borderId="15" xfId="0" applyFont="1" applyBorder="1" applyAlignment="1">
      <alignment/>
    </xf>
    <xf numFmtId="0" fontId="0" fillId="0" borderId="39" xfId="0" applyFont="1" applyBorder="1" applyAlignment="1">
      <alignment/>
    </xf>
    <xf numFmtId="198" fontId="0" fillId="0" borderId="22" xfId="0" applyNumberFormat="1" applyFont="1" applyBorder="1" applyAlignment="1">
      <alignment/>
    </xf>
    <xf numFmtId="198" fontId="0" fillId="0" borderId="12" xfId="0" applyNumberFormat="1" applyFont="1" applyBorder="1" applyAlignment="1">
      <alignment/>
    </xf>
    <xf numFmtId="200" fontId="0" fillId="0" borderId="17" xfId="0" applyNumberFormat="1" applyFont="1" applyBorder="1" applyAlignment="1">
      <alignment/>
    </xf>
    <xf numFmtId="0" fontId="0" fillId="0" borderId="17" xfId="0" applyFont="1" applyBorder="1" applyAlignment="1">
      <alignment/>
    </xf>
    <xf numFmtId="176" fontId="0" fillId="0" borderId="17" xfId="0" applyNumberFormat="1" applyFont="1" applyBorder="1" applyAlignment="1">
      <alignment/>
    </xf>
    <xf numFmtId="0" fontId="0" fillId="0" borderId="40" xfId="0" applyFont="1" applyBorder="1" applyAlignment="1">
      <alignment/>
    </xf>
    <xf numFmtId="198" fontId="0" fillId="0" borderId="17" xfId="0" applyNumberFormat="1" applyFont="1" applyBorder="1" applyAlignment="1">
      <alignment/>
    </xf>
    <xf numFmtId="0" fontId="0" fillId="0" borderId="16" xfId="0" applyFont="1" applyBorder="1" applyAlignment="1">
      <alignment/>
    </xf>
    <xf numFmtId="0" fontId="0" fillId="0" borderId="32" xfId="0" applyFont="1" applyBorder="1" applyAlignment="1">
      <alignment horizontal="left"/>
    </xf>
    <xf numFmtId="164" fontId="0" fillId="0" borderId="0" xfId="0" applyNumberFormat="1" applyFont="1" applyAlignment="1">
      <alignment horizontal="right"/>
    </xf>
    <xf numFmtId="198" fontId="0" fillId="0" borderId="0" xfId="0" applyNumberFormat="1" applyFont="1" applyAlignment="1">
      <alignment/>
    </xf>
    <xf numFmtId="0" fontId="15" fillId="0" borderId="30" xfId="53" applyFont="1" applyBorder="1" applyAlignment="1" applyProtection="1">
      <alignment/>
      <protection/>
    </xf>
    <xf numFmtId="172" fontId="0" fillId="0" borderId="0" xfId="58" applyNumberFormat="1" applyFont="1" applyAlignment="1">
      <alignment horizontal="right"/>
      <protection/>
    </xf>
    <xf numFmtId="0" fontId="0" fillId="0" borderId="38" xfId="58" applyFont="1" applyBorder="1" applyProtection="1">
      <alignment/>
      <protection locked="0"/>
    </xf>
    <xf numFmtId="0" fontId="0" fillId="36" borderId="0" xfId="58" applyFont="1" applyFill="1">
      <alignment/>
      <protection/>
    </xf>
    <xf numFmtId="49" fontId="0" fillId="0" borderId="0" xfId="58" applyNumberFormat="1" applyFont="1" applyAlignment="1">
      <alignment horizontal="center"/>
      <protection/>
    </xf>
    <xf numFmtId="0" fontId="0" fillId="0" borderId="0" xfId="58" applyFont="1" applyAlignment="1">
      <alignment horizontal="center"/>
      <protection/>
    </xf>
    <xf numFmtId="176" fontId="0" fillId="0" borderId="0" xfId="58" applyNumberFormat="1" applyFont="1">
      <alignment/>
      <protection/>
    </xf>
    <xf numFmtId="0" fontId="0" fillId="0" borderId="12" xfId="58" applyFont="1" applyBorder="1">
      <alignment/>
      <protection/>
    </xf>
    <xf numFmtId="0" fontId="1" fillId="0" borderId="12" xfId="58" applyFont="1" applyBorder="1" applyAlignment="1">
      <alignment horizontal="center" wrapText="1"/>
      <protection/>
    </xf>
    <xf numFmtId="198" fontId="0" fillId="0" borderId="0" xfId="58" applyNumberFormat="1" applyFont="1" applyAlignment="1">
      <alignment horizontal="center"/>
      <protection/>
    </xf>
    <xf numFmtId="176" fontId="0" fillId="0" borderId="12" xfId="58" applyNumberFormat="1" applyFont="1" applyBorder="1">
      <alignment/>
      <protection/>
    </xf>
    <xf numFmtId="176" fontId="1" fillId="0" borderId="0" xfId="58" applyNumberFormat="1" applyFont="1">
      <alignment/>
      <protection/>
    </xf>
    <xf numFmtId="0" fontId="1" fillId="0" borderId="12" xfId="58" applyFont="1" applyBorder="1">
      <alignment/>
      <protection/>
    </xf>
    <xf numFmtId="176" fontId="0" fillId="0" borderId="0" xfId="58" applyNumberFormat="1" applyFont="1" applyAlignment="1">
      <alignment horizontal="right"/>
      <protection/>
    </xf>
    <xf numFmtId="0" fontId="2" fillId="0" borderId="0" xfId="58" applyFont="1">
      <alignment/>
      <protection/>
    </xf>
    <xf numFmtId="0" fontId="1" fillId="0" borderId="12" xfId="58" applyFont="1" applyBorder="1" applyAlignment="1">
      <alignment horizontal="left"/>
      <protection/>
    </xf>
    <xf numFmtId="16" fontId="1" fillId="0" borderId="12" xfId="58" applyNumberFormat="1" applyFont="1" applyBorder="1" applyAlignment="1">
      <alignment horizontal="center"/>
      <protection/>
    </xf>
    <xf numFmtId="39" fontId="1" fillId="0" borderId="0" xfId="58" applyNumberFormat="1" applyFont="1">
      <alignment/>
      <protection/>
    </xf>
    <xf numFmtId="39" fontId="1" fillId="0" borderId="0" xfId="58" applyNumberFormat="1" applyFont="1" applyAlignment="1">
      <alignment horizontal="right"/>
      <protection/>
    </xf>
    <xf numFmtId="7" fontId="0" fillId="0" borderId="0" xfId="58" applyNumberFormat="1" applyFont="1">
      <alignment/>
      <protection/>
    </xf>
    <xf numFmtId="0" fontId="0" fillId="0" borderId="0" xfId="58" applyFont="1" applyAlignment="1">
      <alignment horizontal="left"/>
      <protection/>
    </xf>
    <xf numFmtId="7" fontId="0" fillId="0" borderId="12" xfId="58" applyNumberFormat="1" applyFont="1" applyBorder="1">
      <alignment/>
      <protection/>
    </xf>
    <xf numFmtId="7" fontId="1" fillId="0" borderId="0" xfId="58" applyNumberFormat="1" applyFont="1">
      <alignment/>
      <protection/>
    </xf>
    <xf numFmtId="0" fontId="1" fillId="0" borderId="0" xfId="58" applyFont="1" applyAlignment="1">
      <alignment horizontal="left" vertical="top"/>
      <protection/>
    </xf>
    <xf numFmtId="16" fontId="0" fillId="0" borderId="0" xfId="58" applyNumberFormat="1" applyFont="1" quotePrefix="1">
      <alignment/>
      <protection/>
    </xf>
    <xf numFmtId="0" fontId="0" fillId="0" borderId="0" xfId="58" applyFont="1" quotePrefix="1">
      <alignment/>
      <protection/>
    </xf>
    <xf numFmtId="0" fontId="1" fillId="0" borderId="12" xfId="0" applyFont="1" applyBorder="1" applyAlignment="1">
      <alignment horizontal="center"/>
    </xf>
    <xf numFmtId="0" fontId="0" fillId="0" borderId="0" xfId="58" applyFont="1" applyAlignment="1">
      <alignment horizontal="left" vertical="top"/>
      <protection/>
    </xf>
    <xf numFmtId="0" fontId="1" fillId="0" borderId="0" xfId="58" applyFont="1" applyAlignment="1">
      <alignment horizontal="left"/>
      <protection/>
    </xf>
    <xf numFmtId="176" fontId="0" fillId="0" borderId="12" xfId="58" applyNumberFormat="1" applyFont="1" applyBorder="1" applyAlignment="1">
      <alignment horizontal="right"/>
      <protection/>
    </xf>
    <xf numFmtId="176" fontId="1" fillId="0" borderId="0" xfId="58" applyNumberFormat="1" applyFont="1" applyAlignment="1">
      <alignment horizontal="right"/>
      <protection/>
    </xf>
    <xf numFmtId="39" fontId="0" fillId="0" borderId="12" xfId="0" applyNumberFormat="1" applyFont="1" applyBorder="1" applyAlignment="1" applyProtection="1">
      <alignment/>
      <protection locked="0"/>
    </xf>
    <xf numFmtId="0" fontId="1" fillId="0" borderId="12" xfId="0" applyFont="1" applyBorder="1" applyAlignment="1">
      <alignment horizontal="left"/>
    </xf>
    <xf numFmtId="49" fontId="1" fillId="0" borderId="12" xfId="0" applyNumberFormat="1" applyFont="1" applyBorder="1" applyAlignment="1">
      <alignment horizontal="left"/>
    </xf>
    <xf numFmtId="0" fontId="0" fillId="0" borderId="19" xfId="58" applyFont="1" applyBorder="1" applyAlignment="1">
      <alignment horizontal="center" wrapText="1"/>
      <protection/>
    </xf>
    <xf numFmtId="176" fontId="0" fillId="0" borderId="20" xfId="58" applyNumberFormat="1" applyFont="1" applyBorder="1">
      <alignment/>
      <protection/>
    </xf>
    <xf numFmtId="0" fontId="1" fillId="0" borderId="0" xfId="58" applyFont="1" applyAlignment="1">
      <alignment horizontal="center" vertical="top"/>
      <protection/>
    </xf>
    <xf numFmtId="0" fontId="1" fillId="0" borderId="12" xfId="58" applyFont="1" applyBorder="1" applyAlignment="1">
      <alignment vertical="top"/>
      <protection/>
    </xf>
    <xf numFmtId="0" fontId="1" fillId="0" borderId="12" xfId="58" applyFont="1" applyBorder="1" applyAlignment="1">
      <alignment horizontal="center" vertical="top"/>
      <protection/>
    </xf>
    <xf numFmtId="16" fontId="1" fillId="0" borderId="12" xfId="58" applyNumberFormat="1" applyFont="1" applyBorder="1" applyAlignment="1" quotePrefix="1">
      <alignment horizontal="center" vertical="top"/>
      <protection/>
    </xf>
    <xf numFmtId="49" fontId="1" fillId="0" borderId="0" xfId="58" applyNumberFormat="1" applyFont="1" applyAlignment="1">
      <alignment horizontal="left"/>
      <protection/>
    </xf>
    <xf numFmtId="200" fontId="0" fillId="0" borderId="17" xfId="0" applyNumberFormat="1" applyFont="1" applyBorder="1" applyAlignment="1">
      <alignment horizontal="right"/>
    </xf>
    <xf numFmtId="176" fontId="0" fillId="0" borderId="0" xfId="0" applyNumberFormat="1" applyFont="1" applyAlignment="1">
      <alignment/>
    </xf>
    <xf numFmtId="0" fontId="0" fillId="0" borderId="11" xfId="0" applyFont="1" applyBorder="1" applyAlignment="1">
      <alignment horizontal="left"/>
    </xf>
    <xf numFmtId="0" fontId="0" fillId="0" borderId="35" xfId="0" applyFont="1" applyBorder="1" applyAlignment="1">
      <alignment horizontal="left"/>
    </xf>
    <xf numFmtId="49" fontId="1" fillId="0" borderId="34" xfId="58" applyNumberFormat="1" applyFont="1" applyBorder="1" applyAlignment="1">
      <alignment horizontal="left"/>
      <protection/>
    </xf>
    <xf numFmtId="0" fontId="1" fillId="0" borderId="34" xfId="58" applyFont="1" applyBorder="1" applyAlignment="1">
      <alignment horizontal="right"/>
      <protection/>
    </xf>
    <xf numFmtId="0" fontId="0" fillId="0" borderId="33" xfId="0" applyFont="1" applyBorder="1" applyAlignment="1">
      <alignment horizontal="left"/>
    </xf>
    <xf numFmtId="49" fontId="1" fillId="0" borderId="35" xfId="58" applyNumberFormat="1" applyFont="1" applyBorder="1" applyAlignment="1">
      <alignment horizontal="left"/>
      <protection/>
    </xf>
    <xf numFmtId="0" fontId="1" fillId="0" borderId="35" xfId="58" applyFont="1" applyBorder="1" applyAlignment="1">
      <alignment horizontal="right"/>
      <protection/>
    </xf>
    <xf numFmtId="49" fontId="1" fillId="0" borderId="35" xfId="58" applyNumberFormat="1" applyFont="1" applyBorder="1" applyAlignment="1">
      <alignment horizontal="center"/>
      <protection/>
    </xf>
    <xf numFmtId="49" fontId="0" fillId="0" borderId="40" xfId="58" applyNumberFormat="1" applyFont="1" applyBorder="1" applyAlignment="1">
      <alignment horizontal="center"/>
      <protection/>
    </xf>
    <xf numFmtId="0" fontId="1" fillId="0" borderId="30" xfId="58" applyFont="1" applyBorder="1" applyAlignment="1">
      <alignment horizontal="right"/>
      <protection/>
    </xf>
    <xf numFmtId="0" fontId="1" fillId="0" borderId="41" xfId="58" applyFont="1" applyBorder="1" applyAlignment="1">
      <alignment horizontal="right"/>
      <protection/>
    </xf>
    <xf numFmtId="0" fontId="1" fillId="0" borderId="11" xfId="58" applyFont="1" applyBorder="1" applyAlignment="1">
      <alignment horizontal="right"/>
      <protection/>
    </xf>
    <xf numFmtId="0" fontId="1" fillId="0" borderId="33" xfId="58" applyFont="1" applyBorder="1" applyAlignment="1">
      <alignment horizontal="right"/>
      <protection/>
    </xf>
    <xf numFmtId="49" fontId="1" fillId="0" borderId="33" xfId="58" applyNumberFormat="1" applyFont="1" applyBorder="1" applyAlignment="1">
      <alignment horizontal="center"/>
      <protection/>
    </xf>
    <xf numFmtId="49" fontId="1" fillId="0" borderId="30" xfId="58" applyNumberFormat="1" applyFont="1" applyBorder="1" applyAlignment="1">
      <alignment horizontal="center"/>
      <protection/>
    </xf>
    <xf numFmtId="164" fontId="73" fillId="35" borderId="0" xfId="58" applyNumberFormat="1" applyFont="1" applyFill="1">
      <alignment/>
      <protection/>
    </xf>
    <xf numFmtId="0" fontId="81" fillId="0" borderId="0" xfId="58" applyFont="1">
      <alignment/>
      <protection/>
    </xf>
    <xf numFmtId="39" fontId="20" fillId="0" borderId="0" xfId="58" applyNumberFormat="1" applyFont="1">
      <alignment/>
      <protection/>
    </xf>
    <xf numFmtId="164" fontId="1" fillId="0" borderId="0" xfId="58" applyNumberFormat="1" applyFont="1">
      <alignment/>
      <protection/>
    </xf>
    <xf numFmtId="39" fontId="0" fillId="0" borderId="0" xfId="44" applyNumberFormat="1" applyAlignment="1">
      <alignment/>
    </xf>
    <xf numFmtId="0" fontId="0" fillId="0" borderId="19" xfId="58" applyFont="1" applyBorder="1" applyAlignment="1">
      <alignment horizontal="center"/>
      <protection/>
    </xf>
    <xf numFmtId="172" fontId="0" fillId="0" borderId="19" xfId="58" applyNumberFormat="1" applyFont="1" applyBorder="1">
      <alignment/>
      <protection/>
    </xf>
    <xf numFmtId="0" fontId="0" fillId="0" borderId="11" xfId="58" applyFont="1" applyBorder="1" applyAlignment="1">
      <alignment horizontal="center"/>
      <protection/>
    </xf>
    <xf numFmtId="172" fontId="0" fillId="0" borderId="11" xfId="58" applyNumberFormat="1" applyFont="1" applyBorder="1">
      <alignment/>
      <protection/>
    </xf>
    <xf numFmtId="0" fontId="0" fillId="0" borderId="0" xfId="58" applyFont="1" applyAlignment="1">
      <alignment vertical="top" wrapText="1"/>
      <protection/>
    </xf>
    <xf numFmtId="0" fontId="22" fillId="0" borderId="0" xfId="59" applyFill="1" applyAlignment="1">
      <alignment vertical="center" wrapText="1"/>
      <protection/>
    </xf>
    <xf numFmtId="172" fontId="0" fillId="0" borderId="0" xfId="58" applyNumberFormat="1" applyFont="1" applyAlignment="1">
      <alignment horizontal="right" wrapText="1"/>
      <protection/>
    </xf>
    <xf numFmtId="172" fontId="0" fillId="0" borderId="19" xfId="58" applyNumberFormat="1" applyFont="1" applyBorder="1" applyAlignment="1" applyProtection="1">
      <alignment horizontal="right"/>
      <protection locked="0"/>
    </xf>
    <xf numFmtId="172" fontId="0" fillId="0" borderId="19" xfId="58" applyNumberFormat="1" applyFont="1" applyBorder="1" applyAlignment="1" applyProtection="1">
      <alignment wrapText="1"/>
      <protection locked="0"/>
    </xf>
    <xf numFmtId="172" fontId="0" fillId="0" borderId="19" xfId="58" applyNumberFormat="1" applyFont="1" applyBorder="1" applyAlignment="1">
      <alignment wrapText="1"/>
      <protection/>
    </xf>
    <xf numFmtId="0" fontId="0" fillId="37" borderId="14" xfId="0" applyFont="1" applyFill="1" applyBorder="1" applyAlignment="1">
      <alignment/>
    </xf>
    <xf numFmtId="7" fontId="0" fillId="0" borderId="12" xfId="58" applyNumberFormat="1" applyFont="1" applyBorder="1" applyAlignment="1">
      <alignment horizontal="right"/>
      <protection/>
    </xf>
    <xf numFmtId="39" fontId="0" fillId="0" borderId="12" xfId="44" applyNumberFormat="1" applyBorder="1" applyAlignment="1">
      <alignment/>
    </xf>
    <xf numFmtId="39" fontId="0" fillId="0" borderId="24" xfId="44" applyNumberFormat="1" applyBorder="1" applyAlignment="1">
      <alignment/>
    </xf>
    <xf numFmtId="0" fontId="0" fillId="36" borderId="0" xfId="0" applyFont="1" applyFill="1" applyAlignment="1">
      <alignment horizontal="center"/>
    </xf>
    <xf numFmtId="176" fontId="0" fillId="0" borderId="12" xfId="0" applyNumberFormat="1" applyFont="1" applyBorder="1" applyAlignment="1">
      <alignment/>
    </xf>
    <xf numFmtId="176" fontId="0" fillId="0" borderId="24" xfId="0" applyNumberFormat="1" applyFont="1" applyBorder="1" applyAlignment="1">
      <alignment/>
    </xf>
    <xf numFmtId="176" fontId="0" fillId="36" borderId="24" xfId="0" applyNumberFormat="1" applyFont="1" applyFill="1" applyBorder="1" applyAlignment="1">
      <alignment/>
    </xf>
    <xf numFmtId="0" fontId="12" fillId="35" borderId="0" xfId="53" applyFont="1" applyFill="1" applyAlignment="1" applyProtection="1">
      <alignment horizontal="right"/>
      <protection/>
    </xf>
    <xf numFmtId="0" fontId="12" fillId="35" borderId="0" xfId="53" applyFont="1" applyFill="1" applyAlignment="1" applyProtection="1">
      <alignment/>
      <protection/>
    </xf>
    <xf numFmtId="164" fontId="73" fillId="35" borderId="0" xfId="53" applyNumberFormat="1" applyFont="1" applyFill="1" applyAlignment="1" applyProtection="1">
      <alignment/>
      <protection/>
    </xf>
    <xf numFmtId="164" fontId="0" fillId="0" borderId="0" xfId="58" applyNumberFormat="1" applyFont="1" applyAlignment="1">
      <alignment horizontal="left" wrapText="1"/>
      <protection/>
    </xf>
    <xf numFmtId="0" fontId="0" fillId="0" borderId="0" xfId="0" applyFont="1" applyAlignment="1">
      <alignment horizontal="left" wrapText="1"/>
    </xf>
    <xf numFmtId="0" fontId="82" fillId="0" borderId="0" xfId="0" applyFont="1" applyAlignment="1">
      <alignment vertical="top"/>
    </xf>
    <xf numFmtId="0" fontId="0" fillId="0" borderId="0" xfId="0" applyFont="1" applyAlignment="1">
      <alignment vertical="top"/>
    </xf>
    <xf numFmtId="0" fontId="12" fillId="0" borderId="0" xfId="53" applyFont="1" applyAlignment="1" applyProtection="1">
      <alignment/>
      <protection/>
    </xf>
    <xf numFmtId="0" fontId="6" fillId="0" borderId="0" xfId="53" applyAlignment="1" applyProtection="1">
      <alignment/>
      <protection/>
    </xf>
    <xf numFmtId="0" fontId="0" fillId="0" borderId="14" xfId="0" applyBorder="1" applyAlignment="1">
      <alignment/>
    </xf>
    <xf numFmtId="0" fontId="21" fillId="0" borderId="0" xfId="0" applyFont="1" applyAlignment="1">
      <alignment horizontal="left"/>
    </xf>
    <xf numFmtId="0" fontId="21" fillId="0" borderId="0" xfId="0" applyFont="1" applyAlignment="1">
      <alignment/>
    </xf>
    <xf numFmtId="0" fontId="0" fillId="0" borderId="0" xfId="53" applyFont="1" applyAlignment="1" applyProtection="1">
      <alignment vertical="top" wrapText="1"/>
      <protection/>
    </xf>
    <xf numFmtId="164" fontId="74" fillId="0" borderId="0" xfId="53" applyNumberFormat="1" applyFont="1" applyAlignment="1" applyProtection="1">
      <alignment/>
      <protection/>
    </xf>
    <xf numFmtId="0" fontId="74" fillId="0" borderId="0" xfId="53" applyFont="1" applyAlignment="1" applyProtection="1">
      <alignment/>
      <protection/>
    </xf>
    <xf numFmtId="0" fontId="0" fillId="0" borderId="0" xfId="0" applyFont="1" applyAlignment="1">
      <alignment wrapText="1"/>
    </xf>
    <xf numFmtId="0" fontId="12" fillId="35" borderId="0" xfId="53" applyFont="1" applyFill="1" applyAlignment="1" applyProtection="1">
      <alignment horizontal="left"/>
      <protection/>
    </xf>
    <xf numFmtId="49" fontId="12" fillId="35" borderId="0" xfId="53" applyNumberFormat="1" applyFont="1" applyFill="1" applyAlignment="1" applyProtection="1">
      <alignment horizontal="left"/>
      <protection/>
    </xf>
    <xf numFmtId="49" fontId="12" fillId="35" borderId="0" xfId="53" applyNumberFormat="1" applyFont="1" applyFill="1" applyAlignment="1" applyProtection="1">
      <alignment horizontal="center"/>
      <protection/>
    </xf>
    <xf numFmtId="0" fontId="0" fillId="0" borderId="0" xfId="58" applyFont="1" applyAlignment="1">
      <alignment wrapText="1"/>
      <protection/>
    </xf>
    <xf numFmtId="49" fontId="1" fillId="35" borderId="0" xfId="58" applyNumberFormat="1" applyFont="1" applyFill="1" applyAlignment="1">
      <alignment horizontal="left"/>
      <protection/>
    </xf>
    <xf numFmtId="0" fontId="1" fillId="35" borderId="0" xfId="58" applyFont="1" applyFill="1" applyAlignment="1">
      <alignment horizontal="right"/>
      <protection/>
    </xf>
    <xf numFmtId="49" fontId="1" fillId="35" borderId="0" xfId="58" applyNumberFormat="1" applyFont="1" applyFill="1" applyAlignment="1">
      <alignment horizontal="center"/>
      <protection/>
    </xf>
    <xf numFmtId="39" fontId="0" fillId="0" borderId="0" xfId="0" applyNumberFormat="1" applyFont="1" applyAlignment="1">
      <alignment/>
    </xf>
    <xf numFmtId="0" fontId="83" fillId="0" borderId="0" xfId="0" applyFont="1" applyAlignment="1">
      <alignment horizontal="center" vertical="top"/>
    </xf>
    <xf numFmtId="0" fontId="0" fillId="0" borderId="34" xfId="0" applyFont="1" applyBorder="1" applyAlignment="1">
      <alignment horizontal="right"/>
    </xf>
    <xf numFmtId="0" fontId="0" fillId="0" borderId="24" xfId="0" applyFont="1" applyBorder="1" applyAlignment="1">
      <alignment horizontal="right"/>
    </xf>
    <xf numFmtId="0" fontId="0" fillId="0" borderId="35" xfId="0" applyFont="1" applyBorder="1" applyAlignment="1">
      <alignment horizontal="right"/>
    </xf>
    <xf numFmtId="198" fontId="0" fillId="0" borderId="12" xfId="0" applyNumberFormat="1" applyFont="1" applyBorder="1" applyAlignment="1">
      <alignment horizontal="right"/>
    </xf>
    <xf numFmtId="176" fontId="0" fillId="0" borderId="24" xfId="0" applyNumberFormat="1" applyFont="1" applyBorder="1" applyAlignment="1">
      <alignment horizontal="right"/>
    </xf>
    <xf numFmtId="200" fontId="0" fillId="0" borderId="12" xfId="0" applyNumberFormat="1" applyFont="1" applyBorder="1" applyAlignment="1">
      <alignment/>
    </xf>
    <xf numFmtId="200" fontId="0" fillId="0" borderId="12" xfId="0" applyNumberFormat="1" applyFont="1" applyBorder="1" applyAlignment="1">
      <alignment horizontal="right"/>
    </xf>
    <xf numFmtId="0" fontId="0" fillId="0" borderId="35" xfId="58" applyFont="1" applyBorder="1" applyAlignment="1">
      <alignment horizontal="center"/>
      <protection/>
    </xf>
    <xf numFmtId="49" fontId="1" fillId="0" borderId="12" xfId="58" applyNumberFormat="1" applyFont="1" applyBorder="1" applyAlignment="1">
      <alignment horizontal="left"/>
      <protection/>
    </xf>
    <xf numFmtId="49" fontId="79" fillId="0" borderId="12" xfId="0" applyNumberFormat="1" applyFont="1" applyBorder="1" applyAlignment="1">
      <alignment horizontal="left"/>
    </xf>
    <xf numFmtId="0" fontId="75" fillId="0" borderId="0" xfId="0" applyFont="1" applyAlignment="1">
      <alignment horizontal="center"/>
    </xf>
    <xf numFmtId="3" fontId="0" fillId="0" borderId="12" xfId="0" applyNumberFormat="1" applyBorder="1" applyAlignment="1">
      <alignment/>
    </xf>
    <xf numFmtId="0" fontId="0" fillId="0" borderId="38" xfId="58" applyFont="1" applyBorder="1" applyAlignment="1" applyProtection="1">
      <alignment horizontal="center"/>
      <protection locked="0"/>
    </xf>
    <xf numFmtId="0" fontId="0" fillId="0" borderId="20" xfId="58" applyFont="1" applyBorder="1" applyAlignment="1">
      <alignment horizontal="left" vertical="top"/>
      <protection/>
    </xf>
    <xf numFmtId="200" fontId="0" fillId="0" borderId="22" xfId="0" applyNumberFormat="1" applyFont="1" applyBorder="1" applyAlignment="1">
      <alignment horizontal="right"/>
    </xf>
    <xf numFmtId="200" fontId="0" fillId="0" borderId="15" xfId="0" applyNumberFormat="1" applyFont="1" applyBorder="1" applyAlignment="1" applyProtection="1">
      <alignment/>
      <protection locked="0"/>
    </xf>
    <xf numFmtId="180" fontId="0" fillId="0" borderId="12" xfId="0" applyNumberFormat="1" applyFont="1" applyBorder="1" applyAlignment="1" applyProtection="1">
      <alignment/>
      <protection locked="0"/>
    </xf>
    <xf numFmtId="0" fontId="0" fillId="0" borderId="0" xfId="0" applyFont="1" applyFill="1" applyAlignment="1">
      <alignment vertical="center"/>
    </xf>
    <xf numFmtId="0" fontId="6" fillId="35" borderId="20" xfId="53" applyFill="1" applyBorder="1" applyAlignment="1" applyProtection="1">
      <alignment/>
      <protection/>
    </xf>
    <xf numFmtId="164" fontId="6" fillId="0" borderId="20" xfId="53" applyNumberFormat="1" applyBorder="1" applyAlignment="1" applyProtection="1">
      <alignment/>
      <protection/>
    </xf>
    <xf numFmtId="0" fontId="6" fillId="0" borderId="21" xfId="53" applyBorder="1" applyAlignment="1" applyProtection="1">
      <alignment/>
      <protection/>
    </xf>
    <xf numFmtId="0" fontId="0" fillId="0" borderId="0" xfId="0" applyFont="1" applyFill="1" applyAlignment="1">
      <alignment horizontal="justify" vertical="top" wrapText="1"/>
    </xf>
    <xf numFmtId="7" fontId="0" fillId="0" borderId="12" xfId="58" applyNumberFormat="1" applyFont="1" applyFill="1" applyBorder="1">
      <alignment/>
      <protection/>
    </xf>
    <xf numFmtId="4" fontId="0" fillId="0" borderId="24" xfId="0" applyNumberFormat="1" applyFont="1" applyFill="1" applyBorder="1" applyAlignment="1">
      <alignment/>
    </xf>
    <xf numFmtId="0" fontId="0" fillId="0" borderId="0" xfId="0" applyFont="1" applyFill="1" applyAlignment="1">
      <alignment horizontal="center"/>
    </xf>
    <xf numFmtId="0" fontId="0" fillId="0" borderId="0" xfId="0" applyBorder="1" applyAlignment="1">
      <alignment/>
    </xf>
    <xf numFmtId="0" fontId="75" fillId="0" borderId="0" xfId="0" applyFont="1" applyAlignment="1">
      <alignment vertical="top" wrapText="1"/>
    </xf>
    <xf numFmtId="0" fontId="68" fillId="0" borderId="0" xfId="0" applyFont="1" applyBorder="1" applyAlignment="1">
      <alignment vertical="top"/>
    </xf>
    <xf numFmtId="172" fontId="0" fillId="0" borderId="0" xfId="58" applyNumberFormat="1" applyFont="1" applyBorder="1" applyAlignment="1">
      <alignment wrapText="1"/>
      <protection/>
    </xf>
    <xf numFmtId="172" fontId="0" fillId="0" borderId="0" xfId="58" applyNumberFormat="1" applyFont="1" applyBorder="1">
      <alignment/>
      <protection/>
    </xf>
    <xf numFmtId="172" fontId="0" fillId="0" borderId="0" xfId="58" applyNumberFormat="1" applyFont="1" applyBorder="1" applyAlignment="1">
      <alignment horizontal="center" wrapText="1"/>
      <protection/>
    </xf>
    <xf numFmtId="49" fontId="0" fillId="0" borderId="0" xfId="0" applyNumberFormat="1" applyFont="1" applyAlignment="1">
      <alignment vertical="top"/>
    </xf>
    <xf numFmtId="172" fontId="0" fillId="0" borderId="0" xfId="58" applyNumberFormat="1" applyFont="1" applyBorder="1" applyAlignment="1">
      <alignment vertical="top" wrapText="1"/>
      <protection/>
    </xf>
    <xf numFmtId="172" fontId="0" fillId="0" borderId="0" xfId="58" applyNumberFormat="1" applyFont="1" applyBorder="1" applyAlignment="1">
      <alignment vertical="top"/>
      <protection/>
    </xf>
    <xf numFmtId="172" fontId="0" fillId="0" borderId="0" xfId="58" applyNumberFormat="1" applyFont="1" applyBorder="1" applyAlignment="1">
      <alignment horizontal="center" vertical="top" wrapText="1"/>
      <protection/>
    </xf>
    <xf numFmtId="172" fontId="0" fillId="0" borderId="0" xfId="58" applyNumberFormat="1" applyFont="1" applyAlignment="1">
      <alignment horizontal="right" vertical="top" wrapText="1"/>
      <protection/>
    </xf>
    <xf numFmtId="172" fontId="0" fillId="0" borderId="0" xfId="58" applyNumberFormat="1" applyFont="1" applyAlignment="1">
      <alignment vertical="top"/>
      <protection/>
    </xf>
    <xf numFmtId="164" fontId="0" fillId="0" borderId="0" xfId="0" applyNumberFormat="1" applyFont="1" applyAlignment="1">
      <alignment vertical="top"/>
    </xf>
    <xf numFmtId="0" fontId="1" fillId="0" borderId="0" xfId="0" applyFont="1" applyAlignment="1">
      <alignment wrapText="1"/>
    </xf>
    <xf numFmtId="0" fontId="0" fillId="0" borderId="0" xfId="0" applyFont="1" applyBorder="1" applyAlignment="1">
      <alignment/>
    </xf>
    <xf numFmtId="166" fontId="0" fillId="0" borderId="24" xfId="0" applyNumberFormat="1" applyFont="1" applyBorder="1" applyAlignment="1">
      <alignment horizontal="right" vertical="top"/>
    </xf>
    <xf numFmtId="0" fontId="0" fillId="0" borderId="11" xfId="0" applyFont="1" applyBorder="1" applyAlignment="1">
      <alignment horizontal="center"/>
    </xf>
    <xf numFmtId="0" fontId="0" fillId="0" borderId="13" xfId="0" applyFont="1" applyBorder="1" applyAlignment="1">
      <alignment horizontal="center"/>
    </xf>
    <xf numFmtId="0" fontId="0" fillId="0" borderId="11" xfId="0" applyFont="1" applyFill="1" applyBorder="1" applyAlignment="1">
      <alignment horizontal="left"/>
    </xf>
    <xf numFmtId="0" fontId="0" fillId="0" borderId="19" xfId="0" applyFont="1" applyBorder="1" applyAlignment="1" quotePrefix="1">
      <alignment/>
    </xf>
    <xf numFmtId="0" fontId="0" fillId="0" borderId="24" xfId="0" applyFont="1" applyBorder="1" applyAlignment="1">
      <alignment vertical="top"/>
    </xf>
    <xf numFmtId="3" fontId="0" fillId="0" borderId="14" xfId="0" applyNumberFormat="1" applyFont="1" applyBorder="1" applyAlignment="1" applyProtection="1" quotePrefix="1">
      <alignment/>
      <protection locked="0"/>
    </xf>
    <xf numFmtId="166" fontId="0" fillId="0" borderId="14" xfId="0" applyNumberFormat="1" applyFont="1" applyBorder="1" applyAlignment="1">
      <alignment horizontal="right" vertical="top"/>
    </xf>
    <xf numFmtId="38" fontId="0" fillId="0" borderId="18" xfId="0" applyNumberFormat="1" applyFont="1" applyBorder="1" applyAlignment="1">
      <alignment/>
    </xf>
    <xf numFmtId="38" fontId="0" fillId="0" borderId="15" xfId="0" applyNumberFormat="1" applyFont="1" applyBorder="1" applyAlignment="1">
      <alignment/>
    </xf>
    <xf numFmtId="0" fontId="15" fillId="0" borderId="0" xfId="53" applyFont="1" applyAlignment="1" applyProtection="1">
      <alignment horizontal="center"/>
      <protection/>
    </xf>
    <xf numFmtId="0" fontId="18" fillId="0" borderId="14" xfId="53" applyFont="1" applyBorder="1" applyAlignment="1" applyProtection="1">
      <alignment/>
      <protection locked="0"/>
    </xf>
    <xf numFmtId="0" fontId="11" fillId="35" borderId="0" xfId="53" applyFont="1" applyFill="1" applyAlignment="1" applyProtection="1">
      <alignment horizontal="left"/>
      <protection/>
    </xf>
    <xf numFmtId="0" fontId="11" fillId="35" borderId="20" xfId="53" applyFont="1" applyFill="1" applyBorder="1" applyAlignment="1" applyProtection="1">
      <alignment horizontal="left"/>
      <protection/>
    </xf>
    <xf numFmtId="0" fontId="75" fillId="0" borderId="0" xfId="0" applyFont="1" applyAlignment="1">
      <alignment horizontal="center"/>
    </xf>
    <xf numFmtId="0" fontId="0" fillId="0" borderId="12" xfId="0" applyBorder="1" applyAlignment="1">
      <alignment/>
    </xf>
    <xf numFmtId="0" fontId="0" fillId="0" borderId="20" xfId="0" applyFont="1" applyBorder="1" applyAlignment="1">
      <alignment horizontal="center"/>
    </xf>
    <xf numFmtId="0" fontId="0" fillId="0" borderId="12" xfId="0" applyBorder="1" applyAlignment="1" applyProtection="1">
      <alignment horizontal="center"/>
      <protection locked="0"/>
    </xf>
    <xf numFmtId="0" fontId="0" fillId="0" borderId="20" xfId="0" applyBorder="1" applyAlignment="1">
      <alignment horizontal="center"/>
    </xf>
    <xf numFmtId="168" fontId="0" fillId="0" borderId="24" xfId="0" applyNumberFormat="1" applyBorder="1" applyAlignment="1" applyProtection="1">
      <alignment horizontal="left"/>
      <protection locked="0"/>
    </xf>
    <xf numFmtId="0" fontId="0" fillId="0" borderId="0" xfId="0" applyAlignment="1">
      <alignment horizontal="left"/>
    </xf>
    <xf numFmtId="0" fontId="15" fillId="0" borderId="0" xfId="53" applyFont="1" applyAlignment="1" applyProtection="1">
      <alignment horizontal="center"/>
      <protection/>
    </xf>
    <xf numFmtId="0" fontId="15" fillId="0" borderId="15" xfId="53" applyFont="1" applyBorder="1" applyAlignment="1" applyProtection="1">
      <alignment horizontal="center"/>
      <protection/>
    </xf>
    <xf numFmtId="0" fontId="0" fillId="0" borderId="12" xfId="0" applyBorder="1" applyAlignment="1" applyProtection="1">
      <alignment/>
      <protection locked="0"/>
    </xf>
    <xf numFmtId="0" fontId="0" fillId="0" borderId="0" xfId="0" applyAlignment="1">
      <alignment horizontal="center"/>
    </xf>
    <xf numFmtId="0" fontId="0" fillId="0" borderId="0" xfId="0" applyFont="1" applyAlignment="1">
      <alignment horizontal="center"/>
    </xf>
    <xf numFmtId="49" fontId="0"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0" fontId="0" fillId="0" borderId="0" xfId="0" applyFont="1" applyAlignment="1">
      <alignment horizontal="left"/>
    </xf>
    <xf numFmtId="0" fontId="12" fillId="35" borderId="0" xfId="53" applyFont="1" applyFill="1" applyAlignment="1" applyProtection="1">
      <alignment horizontal="right"/>
      <protection/>
    </xf>
    <xf numFmtId="0" fontId="6" fillId="0" borderId="15" xfId="53" applyBorder="1" applyAlignment="1" applyProtection="1">
      <alignment horizontal="center" vertical="center"/>
      <protection/>
    </xf>
    <xf numFmtId="49" fontId="0" fillId="0" borderId="12" xfId="0" applyNumberFormat="1" applyFon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2"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24" xfId="0" applyBorder="1" applyAlignment="1" applyProtection="1">
      <alignment horizontal="left"/>
      <protection locked="0"/>
    </xf>
    <xf numFmtId="0" fontId="1" fillId="0" borderId="0" xfId="0" applyFont="1" applyAlignment="1">
      <alignment horizontal="left"/>
    </xf>
    <xf numFmtId="0" fontId="0" fillId="0" borderId="12" xfId="0" applyFont="1" applyBorder="1" applyAlignment="1" applyProtection="1">
      <alignment/>
      <protection locked="0"/>
    </xf>
    <xf numFmtId="168" fontId="0" fillId="0" borderId="12" xfId="0" applyNumberFormat="1" applyBorder="1" applyAlignment="1" applyProtection="1">
      <alignment horizontal="left"/>
      <protection locked="0"/>
    </xf>
    <xf numFmtId="0" fontId="84" fillId="0" borderId="0" xfId="0" applyFont="1" applyAlignment="1">
      <alignment horizontal="center" vertical="center" wrapText="1"/>
    </xf>
    <xf numFmtId="0" fontId="17" fillId="0" borderId="20" xfId="0" applyFont="1" applyBorder="1" applyAlignment="1">
      <alignment horizontal="center"/>
    </xf>
    <xf numFmtId="0" fontId="11" fillId="35" borderId="0" xfId="53" applyFont="1" applyFill="1" applyAlignment="1" applyProtection="1">
      <alignment horizontal="center"/>
      <protection/>
    </xf>
    <xf numFmtId="0" fontId="11" fillId="35" borderId="20" xfId="53" applyFont="1" applyFill="1" applyBorder="1" applyAlignment="1" applyProtection="1">
      <alignment horizontal="center"/>
      <protection/>
    </xf>
    <xf numFmtId="0" fontId="0" fillId="0" borderId="0" xfId="0" applyFont="1" applyAlignment="1">
      <alignment horizontal="left"/>
    </xf>
    <xf numFmtId="197" fontId="0" fillId="0" borderId="12" xfId="0" applyNumberFormat="1" applyBorder="1" applyAlignment="1" applyProtection="1">
      <alignment horizontal="center"/>
      <protection locked="0"/>
    </xf>
    <xf numFmtId="0" fontId="4" fillId="0" borderId="0" xfId="0" applyFont="1" applyAlignment="1">
      <alignment horizontal="center"/>
    </xf>
    <xf numFmtId="0" fontId="1" fillId="0" borderId="0" xfId="0" applyFont="1" applyAlignment="1">
      <alignment horizontal="center"/>
    </xf>
    <xf numFmtId="0" fontId="0" fillId="0" borderId="10" xfId="0" applyFont="1" applyBorder="1" applyAlignment="1" applyProtection="1" quotePrefix="1">
      <alignment horizontal="left" vertical="top" wrapText="1"/>
      <protection locked="0"/>
    </xf>
    <xf numFmtId="0" fontId="0" fillId="0" borderId="20" xfId="0" applyFont="1" applyBorder="1" applyAlignment="1" applyProtection="1" quotePrefix="1">
      <alignment horizontal="left" vertical="top" wrapText="1"/>
      <protection locked="0"/>
    </xf>
    <xf numFmtId="0" fontId="0" fillId="0" borderId="18" xfId="0" applyFont="1" applyBorder="1" applyAlignment="1" applyProtection="1" quotePrefix="1">
      <alignment horizontal="left" vertical="top" wrapText="1"/>
      <protection locked="0"/>
    </xf>
    <xf numFmtId="0" fontId="0" fillId="0" borderId="11" xfId="0" applyFont="1" applyBorder="1" applyAlignment="1" applyProtection="1" quotePrefix="1">
      <alignment horizontal="left" vertical="top" wrapText="1"/>
      <protection locked="0"/>
    </xf>
    <xf numFmtId="0" fontId="0" fillId="0" borderId="0" xfId="0" applyFont="1" applyBorder="1" applyAlignment="1" applyProtection="1" quotePrefix="1">
      <alignment horizontal="left" vertical="top" wrapText="1"/>
      <protection locked="0"/>
    </xf>
    <xf numFmtId="0" fontId="0" fillId="0" borderId="15" xfId="0" applyFont="1" applyBorder="1" applyAlignment="1" applyProtection="1" quotePrefix="1">
      <alignment horizontal="left" vertical="top" wrapText="1"/>
      <protection locked="0"/>
    </xf>
    <xf numFmtId="0" fontId="0" fillId="0" borderId="22" xfId="0" applyFont="1" applyBorder="1" applyAlignment="1" applyProtection="1" quotePrefix="1">
      <alignment horizontal="left" vertical="top" wrapText="1"/>
      <protection locked="0"/>
    </xf>
    <xf numFmtId="0" fontId="0" fillId="0" borderId="12" xfId="0" applyFont="1" applyBorder="1" applyAlignment="1" applyProtection="1" quotePrefix="1">
      <alignment horizontal="left" vertical="top" wrapText="1"/>
      <protection locked="0"/>
    </xf>
    <xf numFmtId="0" fontId="0" fillId="0" borderId="17" xfId="0" applyFont="1" applyBorder="1" applyAlignment="1" applyProtection="1" quotePrefix="1">
      <alignment horizontal="left" vertical="top" wrapText="1"/>
      <protection locked="0"/>
    </xf>
    <xf numFmtId="164" fontId="0" fillId="0" borderId="0" xfId="0" applyNumberFormat="1" applyFont="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xf>
    <xf numFmtId="0" fontId="16" fillId="0" borderId="0" xfId="0" applyFont="1" applyAlignment="1">
      <alignment horizontal="left" vertical="center"/>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2" xfId="0" applyBorder="1" applyAlignment="1">
      <alignment horizontal="center"/>
    </xf>
    <xf numFmtId="49" fontId="0" fillId="0" borderId="12" xfId="0" applyNumberFormat="1" applyBorder="1" applyAlignment="1">
      <alignment horizontal="left" vertical="top"/>
    </xf>
    <xf numFmtId="49" fontId="12" fillId="35" borderId="0" xfId="53" applyNumberFormat="1" applyFont="1" applyFill="1" applyAlignment="1" applyProtection="1">
      <alignment horizontal="center" vertical="top"/>
      <protection/>
    </xf>
    <xf numFmtId="0" fontId="0" fillId="0" borderId="19"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0" fontId="0" fillId="0" borderId="12" xfId="0" applyFont="1" applyBorder="1" applyAlignment="1">
      <alignment horizontal="center"/>
    </xf>
    <xf numFmtId="0" fontId="6" fillId="0" borderId="0" xfId="53" applyAlignment="1" applyProtection="1">
      <alignment horizontal="center" vertical="center"/>
      <protection/>
    </xf>
    <xf numFmtId="0" fontId="13" fillId="0" borderId="0" xfId="53" applyFont="1" applyAlignment="1" applyProtection="1">
      <alignment horizontal="center" vertical="center"/>
      <protection/>
    </xf>
    <xf numFmtId="49" fontId="0" fillId="0" borderId="12" xfId="0" applyNumberFormat="1" applyBorder="1" applyAlignment="1">
      <alignment horizontal="left"/>
    </xf>
    <xf numFmtId="0" fontId="0" fillId="0" borderId="12" xfId="0" applyBorder="1" applyAlignment="1">
      <alignment horizontal="left"/>
    </xf>
    <xf numFmtId="49" fontId="0" fillId="0" borderId="12" xfId="0" applyNumberFormat="1" applyBorder="1" applyAlignment="1">
      <alignment horizontal="center"/>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center" wrapText="1"/>
    </xf>
    <xf numFmtId="0" fontId="0" fillId="0" borderId="19" xfId="0" applyFont="1" applyBorder="1" applyAlignment="1">
      <alignment horizontal="center"/>
    </xf>
    <xf numFmtId="0" fontId="0" fillId="0" borderId="16" xfId="0" applyFont="1" applyBorder="1" applyAlignment="1">
      <alignment horizontal="center"/>
    </xf>
    <xf numFmtId="0" fontId="6" fillId="0" borderId="20" xfId="53" applyBorder="1" applyAlignment="1" applyProtection="1">
      <alignment horizontal="center" vertical="center"/>
      <protection/>
    </xf>
    <xf numFmtId="0" fontId="0" fillId="0" borderId="12" xfId="0" applyFont="1" applyBorder="1" applyAlignment="1">
      <alignment horizontal="left"/>
    </xf>
    <xf numFmtId="0" fontId="69" fillId="0" borderId="19" xfId="0" applyFont="1" applyBorder="1" applyAlignment="1">
      <alignment horizontal="center"/>
    </xf>
    <xf numFmtId="0" fontId="69" fillId="0" borderId="24" xfId="0" applyFont="1" applyBorder="1" applyAlignment="1">
      <alignment horizontal="center"/>
    </xf>
    <xf numFmtId="0" fontId="69" fillId="0" borderId="16" xfId="0" applyFont="1" applyBorder="1" applyAlignment="1">
      <alignment horizontal="center"/>
    </xf>
    <xf numFmtId="0" fontId="69" fillId="0" borderId="14" xfId="0" applyFont="1" applyBorder="1" applyAlignment="1">
      <alignment horizontal="center"/>
    </xf>
    <xf numFmtId="0" fontId="68" fillId="0" borderId="10"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0" xfId="0" applyFont="1" applyAlignment="1">
      <alignment horizontal="center" vertical="center" wrapText="1"/>
    </xf>
    <xf numFmtId="0" fontId="68" fillId="0" borderId="15" xfId="0" applyFont="1" applyBorder="1" applyAlignment="1">
      <alignment horizontal="center" vertical="center" wrapText="1"/>
    </xf>
    <xf numFmtId="0" fontId="68" fillId="0" borderId="22"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10" xfId="0" applyFont="1" applyBorder="1" applyAlignment="1">
      <alignment horizontal="center"/>
    </xf>
    <xf numFmtId="0" fontId="68" fillId="0" borderId="18" xfId="0" applyFont="1" applyBorder="1" applyAlignment="1">
      <alignment horizontal="center"/>
    </xf>
    <xf numFmtId="0" fontId="68" fillId="0" borderId="19" xfId="0" applyFont="1" applyBorder="1" applyAlignment="1">
      <alignment horizontal="center"/>
    </xf>
    <xf numFmtId="0" fontId="68" fillId="0" borderId="16" xfId="0" applyFont="1" applyBorder="1" applyAlignment="1">
      <alignment horizontal="center"/>
    </xf>
    <xf numFmtId="0" fontId="68" fillId="0" borderId="22" xfId="0" applyFont="1" applyBorder="1" applyAlignment="1">
      <alignment horizontal="left"/>
    </xf>
    <xf numFmtId="0" fontId="68" fillId="0" borderId="12" xfId="0" applyFont="1" applyBorder="1" applyAlignment="1">
      <alignment horizontal="left"/>
    </xf>
    <xf numFmtId="0" fontId="0" fillId="0" borderId="14" xfId="0" applyFont="1" applyBorder="1" applyAlignment="1">
      <alignment horizontal="left"/>
    </xf>
    <xf numFmtId="0" fontId="68" fillId="0" borderId="14" xfId="0" applyFont="1" applyBorder="1" applyAlignment="1">
      <alignment horizontal="left"/>
    </xf>
    <xf numFmtId="38" fontId="68" fillId="0" borderId="19" xfId="0" applyNumberFormat="1" applyFont="1" applyBorder="1" applyAlignment="1">
      <alignment horizontal="center"/>
    </xf>
    <xf numFmtId="38" fontId="68" fillId="0" borderId="16" xfId="0" applyNumberFormat="1" applyFont="1" applyBorder="1" applyAlignment="1">
      <alignment horizontal="center"/>
    </xf>
    <xf numFmtId="0" fontId="68" fillId="0" borderId="10" xfId="0" applyFont="1" applyBorder="1" applyAlignment="1">
      <alignment horizontal="left" vertical="top" wrapText="1"/>
    </xf>
    <xf numFmtId="0" fontId="68" fillId="0" borderId="20" xfId="0" applyFont="1" applyBorder="1" applyAlignment="1">
      <alignment horizontal="left" vertical="top" wrapText="1"/>
    </xf>
    <xf numFmtId="0" fontId="68" fillId="0" borderId="18" xfId="0" applyFont="1" applyBorder="1" applyAlignment="1">
      <alignment horizontal="left" vertical="top" wrapText="1"/>
    </xf>
    <xf numFmtId="0" fontId="68" fillId="0" borderId="11" xfId="0" applyFont="1" applyBorder="1" applyAlignment="1">
      <alignment horizontal="left" vertical="top" wrapText="1"/>
    </xf>
    <xf numFmtId="0" fontId="68" fillId="0" borderId="0" xfId="0" applyFont="1" applyBorder="1" applyAlignment="1">
      <alignment horizontal="left" vertical="top" wrapText="1"/>
    </xf>
    <xf numFmtId="0" fontId="68" fillId="0" borderId="15" xfId="0" applyFont="1" applyBorder="1" applyAlignment="1">
      <alignment horizontal="left" vertical="top" wrapText="1"/>
    </xf>
    <xf numFmtId="0" fontId="68" fillId="0" borderId="22" xfId="0" applyFont="1" applyBorder="1" applyAlignment="1">
      <alignment horizontal="left" vertical="top" wrapText="1"/>
    </xf>
    <xf numFmtId="0" fontId="68" fillId="0" borderId="12" xfId="0" applyFont="1" applyBorder="1" applyAlignment="1">
      <alignment horizontal="left" vertical="top" wrapText="1"/>
    </xf>
    <xf numFmtId="0" fontId="68" fillId="0" borderId="17" xfId="0" applyFont="1" applyBorder="1" applyAlignment="1">
      <alignment horizontal="left" vertical="top" wrapText="1"/>
    </xf>
    <xf numFmtId="0" fontId="75" fillId="0" borderId="0" xfId="0" applyFont="1" applyAlignment="1">
      <alignment horizontal="center" vertical="top" wrapText="1"/>
    </xf>
    <xf numFmtId="0" fontId="0" fillId="38" borderId="0" xfId="0" applyFont="1" applyFill="1" applyAlignment="1">
      <alignment horizontal="left" vertical="top" wrapText="1"/>
    </xf>
    <xf numFmtId="0" fontId="0" fillId="38" borderId="0" xfId="0" applyFill="1" applyAlignment="1">
      <alignment horizontal="left" vertical="top" wrapText="1"/>
    </xf>
    <xf numFmtId="0" fontId="0" fillId="38" borderId="0" xfId="53" applyFont="1" applyFill="1" applyAlignment="1" applyProtection="1">
      <alignment horizontal="left" vertical="top" wrapText="1"/>
      <protection/>
    </xf>
    <xf numFmtId="200" fontId="0" fillId="0" borderId="12" xfId="0" applyNumberFormat="1" applyFont="1" applyBorder="1" applyAlignment="1" applyProtection="1">
      <alignment/>
      <protection locked="0"/>
    </xf>
    <xf numFmtId="200" fontId="0" fillId="0" borderId="17" xfId="0" applyNumberFormat="1" applyFont="1" applyBorder="1" applyAlignment="1" applyProtection="1">
      <alignment/>
      <protection locked="0"/>
    </xf>
    <xf numFmtId="200" fontId="0" fillId="0" borderId="24" xfId="0" applyNumberFormat="1" applyFont="1" applyBorder="1" applyAlignment="1" applyProtection="1">
      <alignment/>
      <protection locked="0"/>
    </xf>
    <xf numFmtId="200" fontId="0" fillId="0" borderId="16" xfId="0" applyNumberFormat="1" applyFont="1" applyBorder="1" applyAlignment="1" applyProtection="1">
      <alignment/>
      <protection locked="0"/>
    </xf>
    <xf numFmtId="172" fontId="0" fillId="0" borderId="19" xfId="58" applyNumberFormat="1" applyFont="1" applyBorder="1" applyAlignment="1" applyProtection="1">
      <alignment horizontal="center"/>
      <protection locked="0"/>
    </xf>
    <xf numFmtId="172" fontId="0" fillId="0" borderId="16" xfId="58" applyNumberFormat="1" applyFont="1" applyBorder="1" applyAlignment="1" applyProtection="1">
      <alignment horizontal="center"/>
      <protection locked="0"/>
    </xf>
    <xf numFmtId="0" fontId="0" fillId="37" borderId="19" xfId="0" applyFont="1" applyFill="1" applyBorder="1" applyAlignment="1">
      <alignment horizontal="center"/>
    </xf>
    <xf numFmtId="0" fontId="0" fillId="37" borderId="16" xfId="0" applyFont="1" applyFill="1" applyBorder="1" applyAlignment="1">
      <alignment horizontal="center"/>
    </xf>
    <xf numFmtId="0" fontId="0" fillId="0" borderId="0" xfId="58" applyFont="1" applyAlignment="1">
      <alignment horizontal="left" vertical="top" wrapText="1"/>
      <protection/>
    </xf>
    <xf numFmtId="0" fontId="0" fillId="0" borderId="22" xfId="0" applyFont="1" applyBorder="1" applyAlignment="1">
      <alignment/>
    </xf>
    <xf numFmtId="0" fontId="0" fillId="0" borderId="12" xfId="0" applyFont="1" applyBorder="1" applyAlignment="1">
      <alignment/>
    </xf>
    <xf numFmtId="0" fontId="0" fillId="0" borderId="17" xfId="0" applyFont="1" applyBorder="1" applyAlignment="1">
      <alignment/>
    </xf>
    <xf numFmtId="0" fontId="0" fillId="0" borderId="19" xfId="0" applyFont="1" applyBorder="1" applyAlignment="1">
      <alignment horizontal="left"/>
    </xf>
    <xf numFmtId="0" fontId="0" fillId="0" borderId="24" xfId="0" applyFont="1" applyBorder="1" applyAlignment="1">
      <alignment horizontal="left"/>
    </xf>
    <xf numFmtId="0" fontId="0" fillId="0" borderId="16" xfId="0" applyFont="1" applyBorder="1" applyAlignment="1">
      <alignment horizontal="left"/>
    </xf>
    <xf numFmtId="200" fontId="0" fillId="0" borderId="24" xfId="0" applyNumberFormat="1" applyFont="1" applyBorder="1" applyAlignment="1" applyProtection="1">
      <alignment horizontal="right"/>
      <protection locked="0"/>
    </xf>
    <xf numFmtId="200" fontId="0" fillId="0" borderId="16" xfId="0" applyNumberFormat="1" applyFont="1" applyBorder="1" applyAlignment="1" applyProtection="1">
      <alignment horizontal="right"/>
      <protection locked="0"/>
    </xf>
    <xf numFmtId="200" fontId="0" fillId="0" borderId="22" xfId="0" applyNumberFormat="1" applyFont="1" applyBorder="1" applyAlignment="1" applyProtection="1">
      <alignment horizontal="right"/>
      <protection locked="0"/>
    </xf>
    <xf numFmtId="200" fontId="0" fillId="0" borderId="17" xfId="0" applyNumberFormat="1" applyFont="1" applyBorder="1" applyAlignment="1" applyProtection="1">
      <alignment horizontal="right"/>
      <protection locked="0"/>
    </xf>
    <xf numFmtId="0" fontId="0" fillId="0" borderId="19" xfId="0" applyFont="1" applyBorder="1" applyAlignment="1">
      <alignment horizontal="center"/>
    </xf>
    <xf numFmtId="0" fontId="0" fillId="0" borderId="16" xfId="0" applyFont="1" applyBorder="1" applyAlignment="1">
      <alignment horizontal="center"/>
    </xf>
    <xf numFmtId="200" fontId="0" fillId="0" borderId="12" xfId="0" applyNumberFormat="1" applyFont="1" applyBorder="1" applyAlignment="1" applyProtection="1">
      <alignment horizontal="right"/>
      <protection locked="0"/>
    </xf>
    <xf numFmtId="200" fontId="0" fillId="0" borderId="24" xfId="0" applyNumberFormat="1" applyFont="1" applyBorder="1" applyAlignment="1">
      <alignment/>
    </xf>
    <xf numFmtId="200" fontId="0" fillId="0" borderId="16" xfId="0" applyNumberFormat="1" applyFont="1" applyBorder="1" applyAlignment="1">
      <alignment/>
    </xf>
    <xf numFmtId="172" fontId="0" fillId="0" borderId="19" xfId="58" applyNumberFormat="1" applyFont="1" applyBorder="1" applyAlignment="1">
      <alignment horizontal="center" wrapText="1"/>
      <protection/>
    </xf>
    <xf numFmtId="172" fontId="0" fillId="0" borderId="16" xfId="58" applyNumberFormat="1" applyFont="1" applyBorder="1" applyAlignment="1">
      <alignment horizontal="center" wrapText="1"/>
      <protection/>
    </xf>
    <xf numFmtId="0" fontId="0" fillId="0" borderId="14" xfId="0" applyBorder="1" applyAlignment="1">
      <alignment/>
    </xf>
    <xf numFmtId="49" fontId="0" fillId="0" borderId="19" xfId="0" applyNumberFormat="1" applyFont="1" applyBorder="1" applyAlignment="1">
      <alignment horizontal="center"/>
    </xf>
    <xf numFmtId="49" fontId="0" fillId="0" borderId="24" xfId="0" applyNumberFormat="1" applyFont="1" applyBorder="1" applyAlignment="1">
      <alignment horizontal="center"/>
    </xf>
    <xf numFmtId="49" fontId="0" fillId="0" borderId="16" xfId="0" applyNumberFormat="1" applyFont="1" applyBorder="1" applyAlignment="1">
      <alignment horizontal="center"/>
    </xf>
    <xf numFmtId="200" fontId="0" fillId="0" borderId="24" xfId="0" applyNumberFormat="1" applyFont="1" applyBorder="1" applyAlignment="1">
      <alignment horizontal="right"/>
    </xf>
    <xf numFmtId="200" fontId="0" fillId="0" borderId="16" xfId="0" applyNumberFormat="1" applyFont="1" applyBorder="1" applyAlignment="1">
      <alignment horizontal="right"/>
    </xf>
    <xf numFmtId="0" fontId="0" fillId="0" borderId="19" xfId="58" applyFont="1" applyBorder="1" applyAlignment="1">
      <alignment horizontal="center" wrapText="1"/>
      <protection/>
    </xf>
    <xf numFmtId="0" fontId="0" fillId="0" borderId="16" xfId="58" applyFont="1" applyBorder="1" applyAlignment="1">
      <alignment horizontal="center" wrapText="1"/>
      <protection/>
    </xf>
    <xf numFmtId="0" fontId="0" fillId="0" borderId="24" xfId="0" applyFont="1" applyBorder="1" applyAlignment="1">
      <alignment horizontal="center"/>
    </xf>
    <xf numFmtId="0" fontId="0" fillId="0" borderId="0" xfId="0" applyFont="1" applyAlignment="1">
      <alignment horizontal="left" vertical="center" wrapText="1"/>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16" xfId="0" applyFont="1" applyBorder="1" applyAlignment="1">
      <alignment horizontal="left" vertical="top"/>
    </xf>
    <xf numFmtId="0" fontId="22" fillId="0" borderId="0" xfId="59" applyFill="1" applyAlignment="1">
      <alignment horizontal="center" vertical="center" wrapText="1"/>
      <protection/>
    </xf>
    <xf numFmtId="164" fontId="0" fillId="38" borderId="0" xfId="58" applyNumberFormat="1" applyFont="1" applyFill="1" applyAlignment="1">
      <alignment horizontal="left" wrapText="1"/>
      <protection/>
    </xf>
    <xf numFmtId="49" fontId="1" fillId="0" borderId="12" xfId="58" applyNumberFormat="1" applyFont="1" applyBorder="1" applyAlignment="1">
      <alignment horizontal="center"/>
      <protection/>
    </xf>
    <xf numFmtId="0" fontId="1" fillId="0" borderId="12" xfId="58" applyFont="1" applyBorder="1" applyAlignment="1">
      <alignment horizontal="center"/>
      <protection/>
    </xf>
    <xf numFmtId="0" fontId="20" fillId="36" borderId="0" xfId="58" applyFont="1" applyFill="1" applyAlignment="1">
      <alignment horizontal="center"/>
      <protection/>
    </xf>
    <xf numFmtId="0" fontId="0" fillId="38" borderId="0" xfId="58" applyFont="1" applyFill="1" applyAlignment="1">
      <alignment horizontal="left" vertical="top" wrapText="1"/>
      <protection/>
    </xf>
    <xf numFmtId="0" fontId="1" fillId="0" borderId="0" xfId="58" applyFont="1" applyAlignment="1">
      <alignment horizontal="right"/>
      <protection/>
    </xf>
    <xf numFmtId="49" fontId="1" fillId="0" borderId="12" xfId="58" applyNumberFormat="1" applyFont="1" applyBorder="1" applyAlignment="1">
      <alignment horizontal="left"/>
      <protection/>
    </xf>
    <xf numFmtId="0" fontId="1" fillId="0" borderId="12" xfId="58" applyFont="1" applyBorder="1" applyAlignment="1">
      <alignment horizontal="left"/>
      <protection/>
    </xf>
    <xf numFmtId="0" fontId="0" fillId="38" borderId="0" xfId="0" applyFont="1" applyFill="1" applyAlignment="1">
      <alignment horizontal="left" wrapText="1"/>
    </xf>
    <xf numFmtId="0" fontId="0" fillId="0" borderId="0" xfId="58" applyFont="1" applyAlignment="1">
      <alignment horizontal="center"/>
      <protection/>
    </xf>
    <xf numFmtId="0" fontId="1" fillId="0" borderId="0" xfId="58" applyFont="1" applyAlignment="1">
      <alignment horizontal="center"/>
      <protection/>
    </xf>
    <xf numFmtId="49" fontId="0" fillId="0" borderId="12" xfId="58" applyNumberFormat="1" applyFont="1" applyBorder="1" applyAlignment="1">
      <alignment horizontal="left"/>
      <protection/>
    </xf>
    <xf numFmtId="49" fontId="0" fillId="0" borderId="12" xfId="58" applyNumberFormat="1" applyFont="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Worksheet C"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6.xml.rels><?xml version="1.0" encoding="utf-8" standalone="yes"?><Relationships xmlns="http://schemas.openxmlformats.org/package/2006/relationships"><Relationship Id="rId1" Type="http://schemas.openxmlformats.org/officeDocument/2006/relationships/hyperlink" Target="#Pg4EnglishLanguageLearnerProj"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10</xdr:col>
      <xdr:colOff>0</xdr:colOff>
      <xdr:row>9</xdr:row>
      <xdr:rowOff>0</xdr:rowOff>
    </xdr:to>
    <xdr:sp>
      <xdr:nvSpPr>
        <xdr:cNvPr id="1" name="Rectangle 1">
          <a:hlinkClick r:id="rId1"/>
        </xdr:cNvPr>
        <xdr:cNvSpPr>
          <a:spLocks/>
        </xdr:cNvSpPr>
      </xdr:nvSpPr>
      <xdr:spPr>
        <a:xfrm>
          <a:off x="4295775" y="1428750"/>
          <a:ext cx="990600" cy="1619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Rectangle 1">
          <a:hlinkClick r:id="rId1"/>
        </xdr:cNvPr>
        <xdr:cNvSpPr>
          <a:spLocks/>
        </xdr:cNvSpPr>
      </xdr:nvSpPr>
      <xdr:spPr>
        <a:xfrm>
          <a:off x="0" y="485775"/>
          <a:ext cx="126682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1447800</xdr:colOff>
      <xdr:row>2</xdr:row>
      <xdr:rowOff>114300</xdr:rowOff>
    </xdr:from>
    <xdr:to>
      <xdr:col>4</xdr:col>
      <xdr:colOff>180975</xdr:colOff>
      <xdr:row>4</xdr:row>
      <xdr:rowOff>114300</xdr:rowOff>
    </xdr:to>
    <xdr:sp>
      <xdr:nvSpPr>
        <xdr:cNvPr id="1" name="Rectangle 4">
          <a:hlinkClick r:id="rId1"/>
        </xdr:cNvPr>
        <xdr:cNvSpPr>
          <a:spLocks/>
        </xdr:cNvSpPr>
      </xdr:nvSpPr>
      <xdr:spPr>
        <a:xfrm>
          <a:off x="2647950" y="314325"/>
          <a:ext cx="9239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0</xdr:rowOff>
    </xdr:from>
    <xdr:to>
      <xdr:col>2</xdr:col>
      <xdr:colOff>409575</xdr:colOff>
      <xdr:row>3</xdr:row>
      <xdr:rowOff>342900</xdr:rowOff>
    </xdr:to>
    <xdr:sp>
      <xdr:nvSpPr>
        <xdr:cNvPr id="1" name="Rectangle 7">
          <a:hlinkClick r:id="rId1"/>
        </xdr:cNvPr>
        <xdr:cNvSpPr>
          <a:spLocks/>
        </xdr:cNvSpPr>
      </xdr:nvSpPr>
      <xdr:spPr>
        <a:xfrm>
          <a:off x="95250" y="419100"/>
          <a:ext cx="1533525" cy="3429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2257425</xdr:colOff>
      <xdr:row>3</xdr:row>
      <xdr:rowOff>66675</xdr:rowOff>
    </xdr:from>
    <xdr:to>
      <xdr:col>3</xdr:col>
      <xdr:colOff>3371850</xdr:colOff>
      <xdr:row>5</xdr:row>
      <xdr:rowOff>38100</xdr:rowOff>
    </xdr:to>
    <xdr:sp>
      <xdr:nvSpPr>
        <xdr:cNvPr id="1" name="Rectangle 5">
          <a:hlinkClick r:id="rId1"/>
        </xdr:cNvPr>
        <xdr:cNvSpPr>
          <a:spLocks/>
        </xdr:cNvSpPr>
      </xdr:nvSpPr>
      <xdr:spPr>
        <a:xfrm>
          <a:off x="3457575" y="400050"/>
          <a:ext cx="1114425" cy="2381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2</xdr:row>
      <xdr:rowOff>76200</xdr:rowOff>
    </xdr:from>
    <xdr:to>
      <xdr:col>4</xdr:col>
      <xdr:colOff>180975</xdr:colOff>
      <xdr:row>4</xdr:row>
      <xdr:rowOff>9525</xdr:rowOff>
    </xdr:to>
    <xdr:sp>
      <xdr:nvSpPr>
        <xdr:cNvPr id="1" name="Rectangle 5">
          <a:hlinkClick r:id="rId1"/>
        </xdr:cNvPr>
        <xdr:cNvSpPr>
          <a:spLocks/>
        </xdr:cNvSpPr>
      </xdr:nvSpPr>
      <xdr:spPr>
        <a:xfrm>
          <a:off x="1981200" y="400050"/>
          <a:ext cx="1190625" cy="2571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2</xdr:col>
      <xdr:colOff>1628775</xdr:colOff>
      <xdr:row>0</xdr:row>
      <xdr:rowOff>266700</xdr:rowOff>
    </xdr:to>
    <xdr:sp>
      <xdr:nvSpPr>
        <xdr:cNvPr id="1" name="Rectangle 2">
          <a:hlinkClick r:id="rId1"/>
        </xdr:cNvPr>
        <xdr:cNvSpPr>
          <a:spLocks/>
        </xdr:cNvSpPr>
      </xdr:nvSpPr>
      <xdr:spPr>
        <a:xfrm>
          <a:off x="0" y="76200"/>
          <a:ext cx="1838325" cy="1905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hool%20Districts\USFR%20MEMOs\Pending\FY%202020%20Budget%20Forms%20combination\2020EXPB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votroubek\AppData\Local\Temp\wzf9bb\Page%205%20ExpBudg%20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harter Contact Info"/>
      <sheetName val="Page 1"/>
      <sheetName val="Page 2"/>
      <sheetName val="Page 3"/>
      <sheetName val="Page 4"/>
      <sheetName val="Budget Summary"/>
      <sheetName val="Instructions"/>
      <sheetName val="budget19"/>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0">
        <row r="13">
          <cell r="R13">
            <v>1495405</v>
          </cell>
        </row>
      </sheetData>
      <sheetData sheetId="2">
        <row r="8">
          <cell r="L8">
            <v>603683</v>
          </cell>
        </row>
        <row r="10">
          <cell r="L10">
            <v>63167</v>
          </cell>
        </row>
        <row r="11">
          <cell r="L11">
            <v>71369</v>
          </cell>
        </row>
        <row r="12">
          <cell r="L12">
            <v>3900</v>
          </cell>
        </row>
        <row r="13">
          <cell r="L13">
            <v>117021</v>
          </cell>
        </row>
        <row r="14">
          <cell r="L14">
            <v>114840</v>
          </cell>
        </row>
        <row r="15">
          <cell r="L15">
            <v>187412</v>
          </cell>
        </row>
        <row r="16">
          <cell r="L16">
            <v>0</v>
          </cell>
        </row>
        <row r="17">
          <cell r="L17">
            <v>62162</v>
          </cell>
        </row>
        <row r="18">
          <cell r="L18">
            <v>0</v>
          </cell>
        </row>
        <row r="19">
          <cell r="L19">
            <v>0</v>
          </cell>
        </row>
        <row r="20">
          <cell r="L20">
            <v>0</v>
          </cell>
        </row>
        <row r="21">
          <cell r="L21">
            <v>0</v>
          </cell>
        </row>
        <row r="22">
          <cell r="L22">
            <v>59016</v>
          </cell>
        </row>
        <row r="25">
          <cell r="L25">
            <v>10283</v>
          </cell>
        </row>
        <row r="27">
          <cell r="L27">
            <v>19556</v>
          </cell>
        </row>
        <row r="28">
          <cell r="L28">
            <v>38853</v>
          </cell>
        </row>
        <row r="29">
          <cell r="L29">
            <v>0</v>
          </cell>
        </row>
        <row r="30">
          <cell r="L30">
            <v>0</v>
          </cell>
        </row>
        <row r="31">
          <cell r="L31">
            <v>2075</v>
          </cell>
        </row>
        <row r="32">
          <cell r="L32">
            <v>9021</v>
          </cell>
        </row>
        <row r="33">
          <cell r="L33">
            <v>0</v>
          </cell>
        </row>
        <row r="34">
          <cell r="L34">
            <v>0</v>
          </cell>
        </row>
        <row r="35">
          <cell r="L35">
            <v>0</v>
          </cell>
        </row>
        <row r="36">
          <cell r="L36">
            <v>0</v>
          </cell>
        </row>
        <row r="39">
          <cell r="L39">
            <v>0</v>
          </cell>
        </row>
        <row r="40">
          <cell r="L40">
            <v>0</v>
          </cell>
        </row>
        <row r="41">
          <cell r="L41">
            <v>0</v>
          </cell>
        </row>
        <row r="42">
          <cell r="L42">
            <v>17108</v>
          </cell>
        </row>
        <row r="44">
          <cell r="L44">
            <v>84394</v>
          </cell>
        </row>
        <row r="45">
          <cell r="L45">
            <v>9506</v>
          </cell>
        </row>
        <row r="46">
          <cell r="L46">
            <v>0</v>
          </cell>
        </row>
        <row r="47">
          <cell r="L47">
            <v>0</v>
          </cell>
        </row>
        <row r="48">
          <cell r="L48">
            <v>22928</v>
          </cell>
        </row>
      </sheetData>
      <sheetData sheetId="3">
        <row r="5">
          <cell r="N5">
            <v>79788</v>
          </cell>
        </row>
        <row r="12">
          <cell r="E12">
            <v>22928</v>
          </cell>
        </row>
        <row r="19">
          <cell r="N19">
            <v>9506</v>
          </cell>
        </row>
        <row r="21">
          <cell r="N21">
            <v>0</v>
          </cell>
        </row>
      </sheetData>
      <sheetData sheetId="4">
        <row r="9">
          <cell r="K9">
            <v>17051</v>
          </cell>
        </row>
        <row r="10">
          <cell r="K10">
            <v>0</v>
          </cell>
        </row>
        <row r="11">
          <cell r="K11">
            <v>0</v>
          </cell>
        </row>
        <row r="14">
          <cell r="K14">
            <v>0</v>
          </cell>
        </row>
        <row r="15">
          <cell r="K15">
            <v>0</v>
          </cell>
        </row>
        <row r="16">
          <cell r="K16">
            <v>0</v>
          </cell>
        </row>
        <row r="19">
          <cell r="K19">
            <v>0</v>
          </cell>
        </row>
        <row r="20">
          <cell r="K20">
            <v>0</v>
          </cell>
        </row>
        <row r="21">
          <cell r="K21">
            <v>0</v>
          </cell>
        </row>
        <row r="26">
          <cell r="K26">
            <v>32024</v>
          </cell>
        </row>
        <row r="27">
          <cell r="K27">
            <v>0</v>
          </cell>
        </row>
        <row r="28">
          <cell r="K28">
            <v>0</v>
          </cell>
        </row>
        <row r="31">
          <cell r="K31">
            <v>0</v>
          </cell>
        </row>
        <row r="32">
          <cell r="K32">
            <v>0</v>
          </cell>
        </row>
        <row r="33">
          <cell r="K33">
            <v>0</v>
          </cell>
        </row>
        <row r="36">
          <cell r="K36">
            <v>0</v>
          </cell>
        </row>
        <row r="37">
          <cell r="K37">
            <v>0</v>
          </cell>
        </row>
        <row r="38">
          <cell r="K38">
            <v>0</v>
          </cell>
        </row>
        <row r="43">
          <cell r="K43">
            <v>35319</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5">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22">
          <cell r="N22">
            <v>0</v>
          </cell>
          <cell r="Q22">
            <v>0</v>
          </cell>
        </row>
        <row r="31">
          <cell r="S31">
            <v>0</v>
          </cell>
        </row>
        <row r="32">
          <cell r="S32">
            <v>0</v>
          </cell>
        </row>
        <row r="33">
          <cell r="S33">
            <v>0</v>
          </cell>
        </row>
        <row r="34">
          <cell r="S34">
            <v>0</v>
          </cell>
        </row>
      </sheetData>
      <sheetData sheetId="2">
        <row r="34">
          <cell r="L34">
            <v>0</v>
          </cell>
        </row>
        <row r="36">
          <cell r="F36">
            <v>0</v>
          </cell>
          <cell r="G36">
            <v>0</v>
          </cell>
          <cell r="H36">
            <v>0</v>
          </cell>
          <cell r="I36">
            <v>0</v>
          </cell>
          <cell r="J36">
            <v>0</v>
          </cell>
        </row>
        <row r="38">
          <cell r="L38">
            <v>0</v>
          </cell>
        </row>
        <row r="39">
          <cell r="F39">
            <v>0</v>
          </cell>
          <cell r="G39">
            <v>0</v>
          </cell>
          <cell r="H39">
            <v>0</v>
          </cell>
          <cell r="I39">
            <v>0</v>
          </cell>
          <cell r="J39">
            <v>0</v>
          </cell>
          <cell r="L39">
            <v>0</v>
          </cell>
        </row>
        <row r="42">
          <cell r="K42">
            <v>0</v>
          </cell>
          <cell r="L42">
            <v>0</v>
          </cell>
        </row>
      </sheetData>
      <sheetData sheetId="3">
        <row r="7">
          <cell r="F7">
            <v>0</v>
          </cell>
        </row>
        <row r="8">
          <cell r="F8">
            <v>0</v>
          </cell>
        </row>
        <row r="9">
          <cell r="F9">
            <v>0</v>
          </cell>
        </row>
        <row r="10">
          <cell r="F10">
            <v>0</v>
          </cell>
        </row>
        <row r="11">
          <cell r="F11">
            <v>0</v>
          </cell>
        </row>
        <row r="12">
          <cell r="F12">
            <v>0</v>
          </cell>
        </row>
        <row r="13">
          <cell r="F13">
            <v>0</v>
          </cell>
        </row>
      </sheetData>
      <sheetData sheetId="4">
        <row r="22">
          <cell r="J22">
            <v>0</v>
          </cell>
        </row>
        <row r="39">
          <cell r="J39">
            <v>0</v>
          </cell>
        </row>
        <row r="57">
          <cell r="J57">
            <v>0</v>
          </cell>
        </row>
        <row r="58">
          <cell r="I58">
            <v>0</v>
          </cell>
          <cell r="J58">
            <v>0</v>
          </cell>
        </row>
      </sheetData>
      <sheetData sheetId="5">
        <row r="19">
          <cell r="J19">
            <v>0</v>
          </cell>
          <cell r="K19">
            <v>0</v>
          </cell>
        </row>
      </sheetData>
      <sheetData sheetId="6">
        <row r="8">
          <cell r="F8">
            <v>0</v>
          </cell>
          <cell r="H8">
            <v>0</v>
          </cell>
          <cell r="J8">
            <v>0</v>
          </cell>
        </row>
      </sheetData>
      <sheetData sheetId="7">
        <row r="5">
          <cell r="S5">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I24">
            <v>0</v>
          </cell>
          <cell r="J24">
            <v>0</v>
          </cell>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I37">
            <v>0</v>
          </cell>
          <cell r="J37">
            <v>0</v>
          </cell>
        </row>
        <row r="38">
          <cell r="S38">
            <v>0</v>
          </cell>
        </row>
        <row r="39">
          <cell r="S39">
            <v>0</v>
          </cell>
        </row>
        <row r="40">
          <cell r="S40">
            <v>0</v>
          </cell>
        </row>
        <row r="41">
          <cell r="S41">
            <v>0</v>
          </cell>
        </row>
        <row r="45">
          <cell r="F45">
            <v>0</v>
          </cell>
          <cell r="H45">
            <v>0</v>
          </cell>
        </row>
      </sheetData>
      <sheetData sheetId="8">
        <row r="56">
          <cell r="J56">
            <v>0</v>
          </cell>
        </row>
        <row r="58">
          <cell r="M58">
            <v>0</v>
          </cell>
        </row>
      </sheetData>
      <sheetData sheetId="9">
        <row r="32">
          <cell r="K32">
            <v>0</v>
          </cell>
        </row>
        <row r="45">
          <cell r="F45">
            <v>0</v>
          </cell>
          <cell r="G45">
            <v>0</v>
          </cell>
          <cell r="H45">
            <v>0</v>
          </cell>
          <cell r="J45">
            <v>0</v>
          </cell>
        </row>
      </sheetData>
      <sheetData sheetId="10">
        <row r="18">
          <cell r="L18">
            <v>0</v>
          </cell>
          <cell r="M18">
            <v>0</v>
          </cell>
        </row>
        <row r="30">
          <cell r="L30">
            <v>0</v>
          </cell>
          <cell r="M30">
            <v>0</v>
          </cell>
        </row>
      </sheetData>
      <sheetData sheetId="11">
        <row r="12">
          <cell r="D12">
            <v>0</v>
          </cell>
        </row>
      </sheetData>
      <sheetData sheetId="14">
        <row r="8">
          <cell r="I8" t="str">
            <v>$</v>
          </cell>
          <cell r="J8">
            <v>2.69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5"/>
    </sheetNames>
    <sheetDataSet>
      <sheetData sheetId="0">
        <row r="1">
          <cell r="A1" t="str">
            <v>DISTRICT NAME </v>
          </cell>
          <cell r="B1">
            <v>0</v>
          </cell>
          <cell r="G1" t="str">
            <v>COUNTY </v>
          </cell>
          <cell r="H1">
            <v>0</v>
          </cell>
          <cell r="J1" t="str">
            <v>CTD NUMBER </v>
          </cell>
          <cell r="K1">
            <v>0</v>
          </cell>
          <cell r="M1" t="str">
            <v>VERSION</v>
          </cell>
          <cell r="N1">
            <v>0</v>
          </cell>
        </row>
        <row r="4">
          <cell r="A4" t="str">
            <v>OTHER FUNDS—REQUIRED CAPITAL EXPENDITURE DETAIL [(A.R.S. §15-904.(B)]</v>
          </cell>
        </row>
        <row r="6">
          <cell r="D6" t="str">
            <v>SOFT CAPITAL ALLOCATION</v>
          </cell>
          <cell r="F6" t="str">
            <v>BOND BUILDING</v>
          </cell>
          <cell r="H6" t="str">
            <v>BUILDING RENEWAL</v>
          </cell>
          <cell r="J6" t="str">
            <v>NEW SCHOOL FACILITIES</v>
          </cell>
        </row>
        <row r="7">
          <cell r="B7" t="str">
            <v>Expenditures</v>
          </cell>
          <cell r="D7" t="str">
            <v>Fund 625</v>
          </cell>
          <cell r="F7" t="str">
            <v>Fund 630</v>
          </cell>
          <cell r="H7" t="str">
            <v>Fund 690</v>
          </cell>
          <cell r="J7" t="str">
            <v>Fund 695</v>
          </cell>
        </row>
        <row r="8">
          <cell r="D8" t="str">
            <v>Current FY</v>
          </cell>
          <cell r="E8" t="str">
            <v>Budget FY</v>
          </cell>
          <cell r="F8" t="str">
            <v>Current FY</v>
          </cell>
          <cell r="G8" t="str">
            <v>Budget FY</v>
          </cell>
          <cell r="H8" t="str">
            <v>Current FY</v>
          </cell>
          <cell r="I8" t="str">
            <v>Budget FY</v>
          </cell>
          <cell r="J8" t="str">
            <v>Current FY</v>
          </cell>
          <cell r="K8" t="str">
            <v>Budget FY</v>
          </cell>
        </row>
        <row r="9">
          <cell r="A9" t="str">
            <v>All Object Codes (1)</v>
          </cell>
          <cell r="C9" t="str">
            <v>1.</v>
          </cell>
          <cell r="L9" t="str">
            <v>1.</v>
          </cell>
        </row>
        <row r="10">
          <cell r="A10" t="str">
            <v>Select Object Codes Detail</v>
          </cell>
        </row>
        <row r="11">
          <cell r="A11" t="str">
            <v>        6150 Classified Salaries</v>
          </cell>
          <cell r="C11" t="str">
            <v>2.</v>
          </cell>
          <cell r="L11" t="str">
            <v>2.</v>
          </cell>
        </row>
        <row r="12">
          <cell r="A12" t="str">
            <v>        6200 Employee Benefits</v>
          </cell>
          <cell r="C12" t="str">
            <v>3.</v>
          </cell>
          <cell r="L12" t="str">
            <v>3.</v>
          </cell>
        </row>
        <row r="13">
          <cell r="A13" t="str">
            <v>        6450 Construction Services</v>
          </cell>
          <cell r="C13" t="str">
            <v>4.</v>
          </cell>
          <cell r="L13" t="str">
            <v>4.</v>
          </cell>
        </row>
        <row r="14">
          <cell r="A14" t="str">
            <v>        6710 Land and Improvements</v>
          </cell>
          <cell r="C14" t="str">
            <v>5.</v>
          </cell>
          <cell r="L14" t="str">
            <v>5.</v>
          </cell>
        </row>
        <row r="15">
          <cell r="A15" t="str">
            <v>        6720 Buildings and Improvements</v>
          </cell>
          <cell r="C15" t="str">
            <v>6.</v>
          </cell>
          <cell r="L15" t="str">
            <v>6.</v>
          </cell>
        </row>
        <row r="16">
          <cell r="A16" t="str">
            <v>        6731 Furniture and Equipment</v>
          </cell>
          <cell r="C16" t="str">
            <v>7.</v>
          </cell>
          <cell r="L16" t="str">
            <v>7.</v>
          </cell>
        </row>
        <row r="17">
          <cell r="A17" t="str">
            <v>        6734 Vehicles </v>
          </cell>
          <cell r="C17" t="str">
            <v>8.</v>
          </cell>
          <cell r="L17" t="str">
            <v>8.</v>
          </cell>
        </row>
        <row r="18">
          <cell r="A18" t="str">
            <v>        6737 Technology</v>
          </cell>
          <cell r="C18" t="str">
            <v>9.</v>
          </cell>
          <cell r="L18" t="str">
            <v>9.</v>
          </cell>
        </row>
        <row r="19">
          <cell r="A19" t="str">
            <v>        6830 Redemption of Principal</v>
          </cell>
          <cell r="C19" t="str">
            <v>10.</v>
          </cell>
          <cell r="L19" t="str">
            <v>10.</v>
          </cell>
        </row>
        <row r="20">
          <cell r="A20" t="str">
            <v>        6840, 6850 Interest</v>
          </cell>
          <cell r="C20" t="str">
            <v>11.</v>
          </cell>
          <cell r="L20" t="str">
            <v>11.</v>
          </cell>
        </row>
        <row r="21">
          <cell r="A21" t="str">
            <v>Total amounts reported on lines 2 through 11 above for:</v>
          </cell>
        </row>
        <row r="22">
          <cell r="A22" t="str">
            <v>       Renovation</v>
          </cell>
          <cell r="C22" t="str">
            <v>12.</v>
          </cell>
          <cell r="L22" t="str">
            <v>12.</v>
          </cell>
        </row>
        <row r="23">
          <cell r="A23" t="str">
            <v>       New Construction</v>
          </cell>
          <cell r="C23" t="str">
            <v>13.</v>
          </cell>
          <cell r="L23" t="str">
            <v>13.</v>
          </cell>
        </row>
        <row r="24">
          <cell r="A24" t="str">
            <v>       Other</v>
          </cell>
          <cell r="C24" t="str">
            <v>14.</v>
          </cell>
          <cell r="L24" t="str">
            <v>14.</v>
          </cell>
        </row>
        <row r="25">
          <cell r="A25" t="str">
            <v>       Total (lines 12-14)</v>
          </cell>
          <cell r="C25" t="str">
            <v>15.</v>
          </cell>
          <cell r="E25">
            <v>0</v>
          </cell>
          <cell r="G25">
            <v>0</v>
          </cell>
          <cell r="I25">
            <v>0</v>
          </cell>
          <cell r="K25">
            <v>0</v>
          </cell>
          <cell r="L25" t="str">
            <v>15.</v>
          </cell>
        </row>
        <row r="27">
          <cell r="A27" t="str">
            <v>(1) Amounts in the All Object Codes, Line 1 above, must include all individual line items 2-__.</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hyperlink" Target="Pg4StructuredEnglishImmersionProj"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V42"/>
  <sheetViews>
    <sheetView showGridLines="0" tabSelected="1" workbookViewId="0" topLeftCell="A1">
      <selection activeCell="P26" sqref="P26:R26"/>
    </sheetView>
  </sheetViews>
  <sheetFormatPr defaultColWidth="9.140625" defaultRowHeight="12.75" customHeight="1"/>
  <cols>
    <col min="1" max="1" width="8.28125" style="0" customWidth="1"/>
    <col min="2" max="2" width="5.421875" style="0" customWidth="1"/>
    <col min="3" max="3" width="4.7109375" style="0" customWidth="1"/>
    <col min="4" max="4" width="8.28125" style="0" customWidth="1"/>
    <col min="5" max="5" width="5.421875" style="0" customWidth="1"/>
    <col min="6" max="6" width="11.28125" style="0" customWidth="1"/>
    <col min="7" max="7" width="6.7109375" style="0" customWidth="1"/>
    <col min="8" max="8" width="3.00390625" style="0" customWidth="1"/>
    <col min="9" max="9" width="11.28125" style="0" customWidth="1"/>
    <col min="10" max="10" width="14.8515625" style="0" customWidth="1"/>
    <col min="12" max="12" width="9.57421875" style="0" customWidth="1"/>
    <col min="14" max="14" width="11.421875" style="0" customWidth="1"/>
    <col min="15" max="15" width="15.8515625" style="0" customWidth="1"/>
    <col min="16" max="16" width="8.7109375" style="0" customWidth="1"/>
    <col min="17" max="17" width="3.7109375" style="0" customWidth="1"/>
    <col min="18" max="18" width="13.7109375" style="0" customWidth="1"/>
    <col min="19" max="19" width="3.57421875" style="0" customWidth="1"/>
    <col min="21" max="21" width="9.57421875" style="0" bestFit="1" customWidth="1"/>
  </cols>
  <sheetData>
    <row r="1" spans="1:18" ht="12.75" customHeight="1">
      <c r="A1" s="551" t="s">
        <v>0</v>
      </c>
      <c r="B1" s="551"/>
      <c r="C1" s="551"/>
      <c r="D1" s="541" t="s">
        <v>535</v>
      </c>
      <c r="E1" s="542"/>
      <c r="F1" s="542"/>
      <c r="G1" s="542"/>
      <c r="H1" s="542"/>
      <c r="I1" s="542"/>
      <c r="L1" s="32" t="s">
        <v>1</v>
      </c>
      <c r="M1" s="546" t="s">
        <v>536</v>
      </c>
      <c r="N1" s="547"/>
      <c r="O1" s="544" t="s">
        <v>89</v>
      </c>
      <c r="P1" s="544"/>
      <c r="Q1" s="544"/>
      <c r="R1" s="200" t="s">
        <v>537</v>
      </c>
    </row>
    <row r="2" spans="4:18" ht="12.75" customHeight="1">
      <c r="D2" s="533" t="s">
        <v>87</v>
      </c>
      <c r="E2" s="533"/>
      <c r="F2" s="533"/>
      <c r="G2" s="533"/>
      <c r="H2" s="533"/>
      <c r="I2" s="533"/>
      <c r="M2" s="29"/>
      <c r="Q2" s="29"/>
      <c r="R2" s="30"/>
    </row>
    <row r="3" spans="4:18" ht="12.75" customHeight="1">
      <c r="D3" s="538"/>
      <c r="E3" s="538"/>
      <c r="F3" s="538"/>
      <c r="G3" s="538"/>
      <c r="H3" s="538"/>
      <c r="I3" s="538"/>
      <c r="M3" s="29"/>
      <c r="Q3" s="29"/>
      <c r="R3" s="30"/>
    </row>
    <row r="4" spans="4:18" ht="12.75" customHeight="1">
      <c r="D4" s="533" t="s">
        <v>88</v>
      </c>
      <c r="E4" s="533"/>
      <c r="F4" s="533"/>
      <c r="G4" s="533"/>
      <c r="H4" s="533"/>
      <c r="I4" s="533"/>
      <c r="L4" s="554">
        <f>IF(OR('Charter Contact Info'!G7="",'Charter Contact Info'!G8="",'Charter Contact Info'!G10="",'Charter Contact Info'!G11="",'Charter Contact Info'!G12="",'Charter Contact Info'!E13="",'Charter Contact Info'!E14="",'Charter Contact Info'!E15=""),"Please ensure Charter Contact Info tab is complete","")</f>
      </c>
      <c r="M4" s="554"/>
      <c r="N4" s="554"/>
      <c r="O4" s="554"/>
      <c r="P4" s="554"/>
      <c r="Q4" s="554"/>
      <c r="R4" s="554"/>
    </row>
    <row r="5" spans="12:18" ht="12.75" customHeight="1">
      <c r="L5" s="554">
        <f>IF('Charter Contact Info'!C24="","Please enter a SIS Vendor on the Charter Contact Info Tab","")</f>
      </c>
      <c r="M5" s="554"/>
      <c r="N5" s="554"/>
      <c r="O5" s="554"/>
      <c r="P5" s="554"/>
      <c r="Q5" s="554"/>
      <c r="R5" s="554"/>
    </row>
    <row r="6" spans="1:18" ht="18" customHeight="1">
      <c r="A6" s="29"/>
      <c r="B6" s="560" t="s">
        <v>454</v>
      </c>
      <c r="C6" s="560"/>
      <c r="D6" s="560"/>
      <c r="E6" s="560"/>
      <c r="F6" s="560"/>
      <c r="G6" s="560"/>
      <c r="H6" s="560"/>
      <c r="I6" s="560"/>
      <c r="J6" s="33"/>
      <c r="K6" s="35" t="s">
        <v>43</v>
      </c>
      <c r="L6" s="571" t="s">
        <v>485</v>
      </c>
      <c r="M6" s="571"/>
      <c r="N6" s="571"/>
      <c r="O6" s="571"/>
      <c r="P6" s="571"/>
      <c r="Q6" s="36" t="s">
        <v>4</v>
      </c>
      <c r="R6" s="486">
        <f>'[1]Cover'!$R$13</f>
        <v>1495405</v>
      </c>
    </row>
    <row r="7" spans="1:18" ht="12.75">
      <c r="A7" s="29"/>
      <c r="B7" s="29"/>
      <c r="C7" s="29"/>
      <c r="D7" s="29"/>
      <c r="E7" s="29"/>
      <c r="F7" s="29"/>
      <c r="G7" s="29"/>
      <c r="J7" s="33"/>
      <c r="K7" s="35"/>
      <c r="L7" s="571"/>
      <c r="M7" s="572"/>
      <c r="N7" s="572"/>
      <c r="O7" s="572"/>
      <c r="P7" s="572"/>
      <c r="Q7" s="36"/>
      <c r="R7" s="259"/>
    </row>
    <row r="8" spans="1:18" ht="18" customHeight="1">
      <c r="A8" s="29"/>
      <c r="B8" s="560" t="s">
        <v>2</v>
      </c>
      <c r="C8" s="560"/>
      <c r="D8" s="560"/>
      <c r="E8" s="560"/>
      <c r="F8" s="560"/>
      <c r="G8" s="560"/>
      <c r="H8" s="560"/>
      <c r="I8" s="560"/>
      <c r="J8" s="34"/>
      <c r="K8" s="35" t="s">
        <v>44</v>
      </c>
      <c r="L8" s="527" t="s">
        <v>486</v>
      </c>
      <c r="M8" s="527"/>
      <c r="N8" s="527"/>
      <c r="O8" s="527"/>
      <c r="P8" s="527"/>
      <c r="Q8" s="527"/>
      <c r="R8" s="259"/>
    </row>
    <row r="9" spans="1:18" ht="12.75">
      <c r="A9" s="29"/>
      <c r="B9" s="29"/>
      <c r="C9" s="29"/>
      <c r="D9" s="29"/>
      <c r="E9" s="29"/>
      <c r="F9" s="29"/>
      <c r="G9" s="29"/>
      <c r="J9" s="33"/>
      <c r="L9" s="29"/>
      <c r="M9" s="29"/>
      <c r="N9" s="29"/>
      <c r="O9" t="s">
        <v>5</v>
      </c>
      <c r="P9" s="38" t="s">
        <v>6</v>
      </c>
      <c r="Q9" s="39" t="s">
        <v>4</v>
      </c>
      <c r="R9" s="37">
        <v>216200</v>
      </c>
    </row>
    <row r="10" spans="1:18" ht="12.75" customHeight="1">
      <c r="A10" s="29"/>
      <c r="B10" s="561" t="s">
        <v>3</v>
      </c>
      <c r="C10" s="561"/>
      <c r="D10" s="561"/>
      <c r="E10" s="561"/>
      <c r="F10" s="561"/>
      <c r="G10" s="561"/>
      <c r="H10" s="561"/>
      <c r="I10" s="561"/>
      <c r="J10" s="545"/>
      <c r="K10" s="35"/>
      <c r="L10" s="256"/>
      <c r="M10" s="256"/>
      <c r="N10" s="256"/>
      <c r="O10" t="s">
        <v>8</v>
      </c>
      <c r="P10" s="38" t="s">
        <v>9</v>
      </c>
      <c r="Q10" s="39" t="s">
        <v>4</v>
      </c>
      <c r="R10" s="37">
        <v>0</v>
      </c>
    </row>
    <row r="11" spans="1:18" ht="12.75" customHeight="1">
      <c r="A11" s="29"/>
      <c r="B11" s="561"/>
      <c r="C11" s="561"/>
      <c r="D11" s="561"/>
      <c r="E11" s="561"/>
      <c r="F11" s="561"/>
      <c r="G11" s="561"/>
      <c r="H11" s="561"/>
      <c r="I11" s="561"/>
      <c r="J11" s="545"/>
      <c r="O11" t="s">
        <v>7</v>
      </c>
      <c r="P11" s="38" t="s">
        <v>68</v>
      </c>
      <c r="Q11" s="39" t="s">
        <v>4</v>
      </c>
      <c r="R11" s="40">
        <v>1355434</v>
      </c>
    </row>
    <row r="12" spans="1:18" ht="12.75" customHeight="1">
      <c r="A12" s="29"/>
      <c r="B12" s="29"/>
      <c r="C12" s="29"/>
      <c r="D12" s="538" t="s">
        <v>81</v>
      </c>
      <c r="E12" s="538"/>
      <c r="F12" s="538"/>
      <c r="G12" s="538"/>
      <c r="H12" s="538"/>
      <c r="J12" s="33"/>
      <c r="O12" t="s">
        <v>10</v>
      </c>
      <c r="P12" s="38" t="s">
        <v>69</v>
      </c>
      <c r="Q12" s="39" t="s">
        <v>4</v>
      </c>
      <c r="R12" s="40">
        <v>19656</v>
      </c>
    </row>
    <row r="13" spans="2:18" ht="12.75" customHeight="1">
      <c r="B13" s="556" t="s">
        <v>79</v>
      </c>
      <c r="C13" s="556"/>
      <c r="D13" s="557"/>
      <c r="E13" s="557"/>
      <c r="F13" s="557"/>
      <c r="G13" s="557"/>
      <c r="H13" s="557"/>
      <c r="I13" s="556"/>
      <c r="J13" s="33"/>
      <c r="O13" t="s">
        <v>45</v>
      </c>
      <c r="Q13" s="39" t="s">
        <v>4</v>
      </c>
      <c r="R13" s="41">
        <f>SUM(R9:R12)</f>
        <v>1591290</v>
      </c>
    </row>
    <row r="14" spans="10:18" ht="12.75" customHeight="1">
      <c r="J14" s="33"/>
      <c r="P14" s="38"/>
      <c r="Q14" s="39"/>
      <c r="R14" s="260"/>
    </row>
    <row r="15" spans="10:18" ht="12.75" customHeight="1">
      <c r="J15" s="33"/>
      <c r="L15" s="558" t="s">
        <v>138</v>
      </c>
      <c r="M15" s="558"/>
      <c r="N15" s="558"/>
      <c r="O15" s="548" t="s">
        <v>552</v>
      </c>
      <c r="P15" s="549"/>
      <c r="Q15" s="549"/>
      <c r="R15" s="549"/>
    </row>
    <row r="16" spans="1:18" ht="12.75" customHeight="1">
      <c r="A16" s="30"/>
      <c r="B16" s="539" t="s">
        <v>80</v>
      </c>
      <c r="C16" s="539"/>
      <c r="D16" s="539"/>
      <c r="E16" s="539"/>
      <c r="F16" s="539"/>
      <c r="G16" s="539"/>
      <c r="H16" s="539"/>
      <c r="I16" s="539"/>
      <c r="J16" s="33"/>
      <c r="L16" s="12" t="s">
        <v>136</v>
      </c>
      <c r="M16" s="559">
        <v>4804525777</v>
      </c>
      <c r="N16" s="559"/>
      <c r="O16" s="39" t="s">
        <v>137</v>
      </c>
      <c r="P16" s="550" t="s">
        <v>554</v>
      </c>
      <c r="Q16" s="550"/>
      <c r="R16" s="550"/>
    </row>
    <row r="17" spans="10:18" ht="12.75" customHeight="1">
      <c r="J17" s="33"/>
      <c r="P17" s="38"/>
      <c r="Q17" s="39"/>
      <c r="R17" s="260"/>
    </row>
    <row r="18" spans="10:18" ht="12.75" customHeight="1">
      <c r="J18" s="33"/>
      <c r="L18" s="543" t="s">
        <v>487</v>
      </c>
      <c r="M18" s="543"/>
      <c r="N18" s="543"/>
      <c r="O18" s="543"/>
      <c r="P18" s="543"/>
      <c r="Q18" s="543"/>
      <c r="R18" s="543"/>
    </row>
    <row r="19" spans="2:18" ht="12.75" customHeight="1">
      <c r="B19" s="540" t="s">
        <v>492</v>
      </c>
      <c r="C19" s="540"/>
      <c r="D19" s="540"/>
      <c r="E19" s="540"/>
      <c r="F19" s="540"/>
      <c r="G19" s="540"/>
      <c r="H19" s="540"/>
      <c r="I19" s="540"/>
      <c r="J19" s="33"/>
      <c r="L19" s="543" t="s">
        <v>330</v>
      </c>
      <c r="M19" s="543"/>
      <c r="N19" s="543"/>
      <c r="O19" s="543"/>
      <c r="P19" s="553">
        <v>43627</v>
      </c>
      <c r="Q19" s="553"/>
      <c r="R19" s="553"/>
    </row>
    <row r="20" spans="3:18" ht="12.75" customHeight="1">
      <c r="C20" s="535" t="s">
        <v>81</v>
      </c>
      <c r="D20" s="535"/>
      <c r="F20" s="553">
        <v>43627</v>
      </c>
      <c r="G20" s="553"/>
      <c r="H20" s="553"/>
      <c r="I20" s="272">
        <f>IF(AND(ISNUMBER(SEARCH("Proposed*",D12)),F20=""),"Please enter a Proposed Date","")</f>
      </c>
      <c r="J20" s="33"/>
      <c r="L20" s="529" t="s">
        <v>465</v>
      </c>
      <c r="M20" s="529"/>
      <c r="N20" s="529"/>
      <c r="O20" s="529"/>
      <c r="P20" s="555" t="s">
        <v>328</v>
      </c>
      <c r="Q20" s="555"/>
      <c r="R20" s="555"/>
    </row>
    <row r="21" spans="3:18" ht="12.75" customHeight="1">
      <c r="C21" s="535" t="s">
        <v>82</v>
      </c>
      <c r="D21" s="535"/>
      <c r="F21" s="534"/>
      <c r="G21" s="534"/>
      <c r="H21" s="534"/>
      <c r="I21" s="271">
        <f>IF(AND(ISNUMBER(SEARCH("Adopted*",D12)),F21=""),"Please enter an Adopted Date","")</f>
      </c>
      <c r="J21" s="33"/>
      <c r="L21" s="573"/>
      <c r="M21" s="574"/>
      <c r="N21" s="574"/>
      <c r="O21" s="574"/>
      <c r="P21" s="574"/>
      <c r="Q21" s="574"/>
      <c r="R21" s="574"/>
    </row>
    <row r="22" spans="1:18" ht="12.75" customHeight="1">
      <c r="A22" s="30"/>
      <c r="C22" s="535" t="s">
        <v>83</v>
      </c>
      <c r="D22" s="535"/>
      <c r="F22" s="534"/>
      <c r="G22" s="534"/>
      <c r="H22" s="534"/>
      <c r="I22" s="254">
        <f>IF(AND(ISNUMBER(SEARCH("Revised*",D12)),F22=""),"Please enter a Revised Date","")</f>
      </c>
      <c r="J22" s="42"/>
      <c r="L22" s="530"/>
      <c r="M22" s="530"/>
      <c r="N22" s="530"/>
      <c r="O22" s="247"/>
      <c r="P22" s="530"/>
      <c r="Q22" s="530"/>
      <c r="R22" s="530"/>
    </row>
    <row r="23" spans="6:22" ht="12.75" customHeight="1">
      <c r="F23" s="533" t="s">
        <v>84</v>
      </c>
      <c r="G23" s="533"/>
      <c r="H23" s="533"/>
      <c r="J23" s="33"/>
      <c r="L23" s="531" t="s">
        <v>245</v>
      </c>
      <c r="M23" s="531"/>
      <c r="N23" s="531"/>
      <c r="O23" s="46"/>
      <c r="P23" s="531" t="s">
        <v>245</v>
      </c>
      <c r="Q23" s="531"/>
      <c r="R23" s="531"/>
      <c r="S23" s="246"/>
      <c r="T23" s="246"/>
      <c r="U23" s="246"/>
      <c r="V23" s="85"/>
    </row>
    <row r="24" spans="2:18" ht="12.75" customHeight="1">
      <c r="B24" s="43"/>
      <c r="E24" s="44"/>
      <c r="J24" s="33"/>
      <c r="L24" s="12"/>
      <c r="M24" s="12"/>
      <c r="N24" s="12"/>
      <c r="O24" s="12"/>
      <c r="P24" s="12"/>
      <c r="Q24" s="12"/>
      <c r="R24" s="12"/>
    </row>
    <row r="25" spans="1:21" ht="12.75" customHeight="1">
      <c r="A25" s="536"/>
      <c r="B25" s="536"/>
      <c r="C25" s="536"/>
      <c r="D25" s="536"/>
      <c r="E25" s="536"/>
      <c r="F25" s="536"/>
      <c r="G25" s="536"/>
      <c r="H25" s="536"/>
      <c r="I25" s="536"/>
      <c r="J25" s="537"/>
      <c r="L25" s="529">
        <f>IF(OR(L26="",P26=""),"Please enter typed school official names","")</f>
      </c>
      <c r="M25" s="529"/>
      <c r="N25" s="529"/>
      <c r="O25" s="529"/>
      <c r="P25" s="529"/>
      <c r="Q25" s="529"/>
      <c r="R25" s="529"/>
      <c r="U25" s="266"/>
    </row>
    <row r="26" spans="1:18" ht="12.75" customHeight="1">
      <c r="A26" s="536"/>
      <c r="B26" s="536"/>
      <c r="C26" s="536"/>
      <c r="D26" s="536"/>
      <c r="E26" s="536"/>
      <c r="F26" s="536"/>
      <c r="G26" s="536"/>
      <c r="H26" s="536"/>
      <c r="I26" s="536"/>
      <c r="J26" s="537"/>
      <c r="L26" s="552" t="s">
        <v>552</v>
      </c>
      <c r="M26" s="538"/>
      <c r="N26" s="538"/>
      <c r="O26" s="46"/>
      <c r="P26" s="552" t="s">
        <v>553</v>
      </c>
      <c r="Q26" s="538"/>
      <c r="R26" s="538"/>
    </row>
    <row r="27" spans="1:18" ht="12.75" customHeight="1">
      <c r="A27" s="536"/>
      <c r="B27" s="536"/>
      <c r="C27" s="536"/>
      <c r="D27" s="536"/>
      <c r="E27" s="536"/>
      <c r="F27" s="536"/>
      <c r="G27" s="536"/>
      <c r="H27" s="536"/>
      <c r="I27" s="536"/>
      <c r="J27" s="537"/>
      <c r="L27" s="531" t="s">
        <v>247</v>
      </c>
      <c r="M27" s="533"/>
      <c r="N27" s="533"/>
      <c r="O27" s="46"/>
      <c r="P27" s="531" t="s">
        <v>247</v>
      </c>
      <c r="Q27" s="533"/>
      <c r="R27" s="533"/>
    </row>
    <row r="28" spans="2:10" ht="12.75" customHeight="1">
      <c r="B28" s="30"/>
      <c r="C28" s="43"/>
      <c r="D28" s="43"/>
      <c r="F28" s="30"/>
      <c r="G28" s="45"/>
      <c r="H28" s="29"/>
      <c r="I28" s="29"/>
      <c r="J28" s="34"/>
    </row>
    <row r="29" spans="1:19" ht="12.75" customHeight="1">
      <c r="A29" s="530"/>
      <c r="B29" s="530"/>
      <c r="C29" s="530"/>
      <c r="D29" s="530"/>
      <c r="E29" s="530"/>
      <c r="F29" s="30"/>
      <c r="G29" s="532"/>
      <c r="H29" s="532"/>
      <c r="I29" s="532"/>
      <c r="J29" s="34"/>
      <c r="L29" s="527" t="s">
        <v>488</v>
      </c>
      <c r="M29" s="527"/>
      <c r="N29" s="528"/>
      <c r="O29" s="528"/>
      <c r="P29" s="528"/>
      <c r="Q29" s="528"/>
      <c r="R29" s="528"/>
      <c r="S29" s="527"/>
    </row>
    <row r="30" spans="8:19" ht="12.75" customHeight="1" thickBot="1">
      <c r="H30" s="29"/>
      <c r="I30" s="29"/>
      <c r="J30" s="34"/>
      <c r="L30" s="529">
        <f>IF((BudgetYearSalary)=0,"Average teacher salary information is not complete",IF(AND((PriorYearSalary)=0,(L31)=""),"Average teacher salary information is not complete",""))</f>
      </c>
      <c r="M30" s="529"/>
      <c r="N30" s="529"/>
      <c r="O30" s="529"/>
      <c r="P30" s="529"/>
      <c r="Q30" s="529"/>
      <c r="R30" s="529"/>
      <c r="S30" s="485"/>
    </row>
    <row r="31" spans="1:18" ht="12.75" customHeight="1" thickBot="1">
      <c r="A31" s="530"/>
      <c r="B31" s="530"/>
      <c r="C31" s="530"/>
      <c r="D31" s="530"/>
      <c r="E31" s="530"/>
      <c r="F31" s="30"/>
      <c r="G31" s="532"/>
      <c r="H31" s="532"/>
      <c r="I31" s="532"/>
      <c r="J31" s="33"/>
      <c r="L31" s="487"/>
      <c r="M31" s="248" t="s">
        <v>453</v>
      </c>
      <c r="N31" s="254"/>
      <c r="O31" s="254"/>
      <c r="P31" s="254"/>
      <c r="Q31" s="254"/>
      <c r="R31" s="254"/>
    </row>
    <row r="32" spans="10:19" ht="12.75" customHeight="1">
      <c r="J32" s="33"/>
      <c r="L32" s="248" t="s">
        <v>489</v>
      </c>
      <c r="M32" s="456"/>
      <c r="N32" s="456"/>
      <c r="O32" s="513"/>
      <c r="P32" s="513"/>
      <c r="Q32" s="39" t="s">
        <v>4</v>
      </c>
      <c r="R32" s="253">
        <v>47011</v>
      </c>
      <c r="S32" s="273">
        <f>IF(OR(BudgetYearSalary=0,PriorYearSalary=0),1/error,"")</f>
      </c>
    </row>
    <row r="33" spans="1:18" ht="12.75" customHeight="1">
      <c r="A33" s="530"/>
      <c r="B33" s="530"/>
      <c r="C33" s="530"/>
      <c r="D33" s="530"/>
      <c r="E33" s="530"/>
      <c r="F33" s="30"/>
      <c r="G33" s="532"/>
      <c r="H33" s="532"/>
      <c r="I33" s="532"/>
      <c r="J33" s="33"/>
      <c r="L33" s="248" t="s">
        <v>490</v>
      </c>
      <c r="M33" s="85"/>
      <c r="N33" s="85"/>
      <c r="O33" s="513"/>
      <c r="P33" s="513"/>
      <c r="Q33" s="39" t="s">
        <v>4</v>
      </c>
      <c r="R33" s="40">
        <v>45455</v>
      </c>
    </row>
    <row r="34" spans="10:18" ht="12.75" customHeight="1">
      <c r="J34" s="33"/>
      <c r="L34" s="248" t="s">
        <v>491</v>
      </c>
      <c r="M34" s="85"/>
      <c r="N34" s="85"/>
      <c r="O34" s="513"/>
      <c r="P34" s="513"/>
      <c r="Q34" s="39" t="s">
        <v>4</v>
      </c>
      <c r="R34" s="40">
        <f>R32-R33</f>
        <v>1556</v>
      </c>
    </row>
    <row r="35" spans="1:18" ht="12.75" customHeight="1">
      <c r="A35" s="530"/>
      <c r="B35" s="530"/>
      <c r="C35" s="530"/>
      <c r="D35" s="530"/>
      <c r="E35" s="530"/>
      <c r="F35" s="30"/>
      <c r="G35" s="532"/>
      <c r="H35" s="532"/>
      <c r="I35" s="532"/>
      <c r="J35" s="33"/>
      <c r="L35" s="248" t="s">
        <v>281</v>
      </c>
      <c r="Q35" s="39"/>
      <c r="R35" s="261">
        <f>IF(PriorYearSalary&gt;0,R34/R33,0)</f>
        <v>0.034</v>
      </c>
    </row>
    <row r="36" spans="4:18" ht="12.75" customHeight="1">
      <c r="D36" s="29"/>
      <c r="E36" s="29"/>
      <c r="F36" s="29"/>
      <c r="G36" s="29"/>
      <c r="J36" s="33"/>
      <c r="L36" s="562" t="s">
        <v>457</v>
      </c>
      <c r="M36" s="563"/>
      <c r="N36" s="563"/>
      <c r="O36" s="563"/>
      <c r="P36" s="563"/>
      <c r="Q36" s="563"/>
      <c r="R36" s="564"/>
    </row>
    <row r="37" spans="1:18" ht="12.75" customHeight="1">
      <c r="A37" s="530"/>
      <c r="B37" s="530"/>
      <c r="C37" s="530"/>
      <c r="D37" s="530"/>
      <c r="E37" s="530"/>
      <c r="F37" s="30"/>
      <c r="G37" s="532"/>
      <c r="H37" s="532"/>
      <c r="I37" s="532"/>
      <c r="K37" s="258"/>
      <c r="L37" s="565"/>
      <c r="M37" s="566"/>
      <c r="N37" s="566"/>
      <c r="O37" s="566"/>
      <c r="P37" s="566"/>
      <c r="Q37" s="566"/>
      <c r="R37" s="567"/>
    </row>
    <row r="38" spans="4:19" ht="12.75" customHeight="1">
      <c r="D38" s="29"/>
      <c r="E38" s="29"/>
      <c r="F38" s="29"/>
      <c r="G38" s="29"/>
      <c r="K38" s="143"/>
      <c r="L38" s="565"/>
      <c r="M38" s="566"/>
      <c r="N38" s="566"/>
      <c r="O38" s="566"/>
      <c r="P38" s="566"/>
      <c r="Q38" s="566"/>
      <c r="R38" s="567"/>
      <c r="S38" s="258"/>
    </row>
    <row r="39" spans="1:19" ht="12.75" customHeight="1">
      <c r="A39" s="530"/>
      <c r="B39" s="530"/>
      <c r="C39" s="530"/>
      <c r="D39" s="530"/>
      <c r="E39" s="530"/>
      <c r="F39" s="30"/>
      <c r="G39" s="532"/>
      <c r="H39" s="532"/>
      <c r="I39" s="532"/>
      <c r="K39" s="143"/>
      <c r="L39" s="565"/>
      <c r="M39" s="566"/>
      <c r="N39" s="566"/>
      <c r="O39" s="566"/>
      <c r="P39" s="566"/>
      <c r="Q39" s="566"/>
      <c r="R39" s="567"/>
      <c r="S39" s="258"/>
    </row>
    <row r="40" spans="4:19" ht="12.75" customHeight="1">
      <c r="D40" s="29"/>
      <c r="E40" s="29"/>
      <c r="F40" s="29"/>
      <c r="G40" s="29"/>
      <c r="K40" s="143"/>
      <c r="L40" s="568"/>
      <c r="M40" s="569"/>
      <c r="N40" s="569"/>
      <c r="O40" s="569"/>
      <c r="P40" s="569"/>
      <c r="Q40" s="569"/>
      <c r="R40" s="570"/>
      <c r="S40" s="258"/>
    </row>
    <row r="41" spans="1:19" ht="12.75" customHeight="1">
      <c r="A41" s="530"/>
      <c r="B41" s="530"/>
      <c r="C41" s="530"/>
      <c r="D41" s="530"/>
      <c r="E41" s="530"/>
      <c r="F41" s="30"/>
      <c r="G41" s="532"/>
      <c r="H41" s="532"/>
      <c r="I41" s="532"/>
      <c r="K41" s="258"/>
      <c r="L41" s="248" t="s">
        <v>466</v>
      </c>
      <c r="M41" s="514"/>
      <c r="N41" s="514"/>
      <c r="O41" s="514"/>
      <c r="P41" s="514"/>
      <c r="Q41" s="265" t="s">
        <v>4</v>
      </c>
      <c r="R41" s="253">
        <v>41961</v>
      </c>
      <c r="S41" s="500"/>
    </row>
    <row r="42" spans="1:19" ht="12.75" customHeight="1">
      <c r="A42" s="533" t="s">
        <v>85</v>
      </c>
      <c r="B42" s="533"/>
      <c r="C42" s="533"/>
      <c r="D42" s="533"/>
      <c r="E42" s="533"/>
      <c r="F42" s="30"/>
      <c r="G42" s="533" t="s">
        <v>42</v>
      </c>
      <c r="H42" s="533"/>
      <c r="I42" s="533"/>
      <c r="K42" s="258"/>
      <c r="L42" s="248" t="s">
        <v>467</v>
      </c>
      <c r="M42" s="514"/>
      <c r="N42" s="514"/>
      <c r="O42" s="514"/>
      <c r="P42" s="514"/>
      <c r="Q42" s="514"/>
      <c r="R42" s="515">
        <f>IF(PriorYearSalary&gt;0,((BudgetYearSalary-R41)/R41),0)</f>
        <v>0.12</v>
      </c>
      <c r="S42" s="500"/>
    </row>
  </sheetData>
  <sheetProtection sheet="1" formatColumns="0" formatRows="0"/>
  <mergeCells count="69">
    <mergeCell ref="L36:R40"/>
    <mergeCell ref="D4:I4"/>
    <mergeCell ref="B11:I11"/>
    <mergeCell ref="L6:P6"/>
    <mergeCell ref="L7:P7"/>
    <mergeCell ref="A25:J25"/>
    <mergeCell ref="D12:H12"/>
    <mergeCell ref="F23:H23"/>
    <mergeCell ref="L8:Q8"/>
    <mergeCell ref="L21:R21"/>
    <mergeCell ref="L4:R4"/>
    <mergeCell ref="L5:R5"/>
    <mergeCell ref="P20:R20"/>
    <mergeCell ref="L20:O20"/>
    <mergeCell ref="B13:I13"/>
    <mergeCell ref="L15:N15"/>
    <mergeCell ref="M16:N16"/>
    <mergeCell ref="B6:I6"/>
    <mergeCell ref="B8:I8"/>
    <mergeCell ref="B10:I10"/>
    <mergeCell ref="A1:C1"/>
    <mergeCell ref="L26:N26"/>
    <mergeCell ref="P26:R26"/>
    <mergeCell ref="L22:N22"/>
    <mergeCell ref="C20:D20"/>
    <mergeCell ref="L18:R18"/>
    <mergeCell ref="P19:R19"/>
    <mergeCell ref="L25:R25"/>
    <mergeCell ref="F20:H20"/>
    <mergeCell ref="C21:D21"/>
    <mergeCell ref="P27:R27"/>
    <mergeCell ref="D1:I1"/>
    <mergeCell ref="L19:O19"/>
    <mergeCell ref="O1:Q1"/>
    <mergeCell ref="J10:J11"/>
    <mergeCell ref="M1:N1"/>
    <mergeCell ref="L27:N27"/>
    <mergeCell ref="O15:R15"/>
    <mergeCell ref="A26:J26"/>
    <mergeCell ref="P16:R16"/>
    <mergeCell ref="G41:I41"/>
    <mergeCell ref="D2:I2"/>
    <mergeCell ref="D3:I3"/>
    <mergeCell ref="G37:I37"/>
    <mergeCell ref="G39:I39"/>
    <mergeCell ref="F22:H22"/>
    <mergeCell ref="A31:E31"/>
    <mergeCell ref="B16:I16"/>
    <mergeCell ref="B19:I19"/>
    <mergeCell ref="G42:I42"/>
    <mergeCell ref="A42:E42"/>
    <mergeCell ref="A37:E37"/>
    <mergeCell ref="A39:E39"/>
    <mergeCell ref="F21:H21"/>
    <mergeCell ref="C22:D22"/>
    <mergeCell ref="G29:I29"/>
    <mergeCell ref="G33:I33"/>
    <mergeCell ref="G31:I31"/>
    <mergeCell ref="A27:J27"/>
    <mergeCell ref="L29:S29"/>
    <mergeCell ref="L30:R30"/>
    <mergeCell ref="P22:R22"/>
    <mergeCell ref="L23:N23"/>
    <mergeCell ref="P23:R23"/>
    <mergeCell ref="A41:E41"/>
    <mergeCell ref="A35:E35"/>
    <mergeCell ref="A29:E29"/>
    <mergeCell ref="G35:I35"/>
    <mergeCell ref="A33:E33"/>
  </mergeCells>
  <dataValidations count="9">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 type="list" allowBlank="1" showInputMessage="1" showErrorMessage="1" sqref="L31">
      <formula1>"X"</formula1>
    </dataValidation>
  </dataValidations>
  <hyperlinks>
    <hyperlink ref="O1:Q1" location="CTDSNumber" display="CTDS NUMBER"/>
    <hyperlink ref="B13:I13" location="Version" display="Version"/>
    <hyperlink ref="L8:Q8" location="EstimatedRevenues" display="ESTIMATED REVENUES BY SOURCE FOR FISCAL YEAR 2019"/>
    <hyperlink ref="L29:S29" location="AverageTeacherSalaries" display="AVERAGE TEACHER SALARY (A.R.S. §15-189.05)"/>
  </hyperlinks>
  <printOptions horizontalCentered="1" verticalCentered="1"/>
  <pageMargins left="0.75" right="0.5" top="0.25" bottom="0.25" header="0" footer="0"/>
  <pageSetup horizontalDpi="600" verticalDpi="600" orientation="landscape" paperSize="5" scale="77" r:id="rId2"/>
  <headerFooter>
    <oddFooter>&amp;L&amp;"Arial,Bold"Rev. 5/19 Arizona Department of Education and Auditor General</oddFooter>
  </headerFooter>
  <drawing r:id="rId1"/>
</worksheet>
</file>

<file path=xl/worksheets/sheet10.xml><?xml version="1.0" encoding="utf-8"?>
<worksheet xmlns="http://schemas.openxmlformats.org/spreadsheetml/2006/main" xmlns:r="http://schemas.openxmlformats.org/officeDocument/2006/relationships">
  <dimension ref="A1:J190"/>
  <sheetViews>
    <sheetView showGridLines="0" workbookViewId="0" topLeftCell="A28">
      <selection activeCell="B9" sqref="B9"/>
    </sheetView>
  </sheetViews>
  <sheetFormatPr defaultColWidth="9.140625" defaultRowHeight="12.75"/>
  <cols>
    <col min="1" max="1" width="39.421875" style="300" customWidth="1"/>
    <col min="2" max="2" width="14.421875" style="300" customWidth="1"/>
    <col min="3" max="3" width="16.28125" style="300" customWidth="1"/>
    <col min="4" max="5" width="14.421875" style="300" customWidth="1"/>
    <col min="6" max="6" width="4.57421875" style="300" customWidth="1"/>
    <col min="7" max="7" width="15.8515625" style="300" customWidth="1"/>
    <col min="8" max="8" width="15.7109375" style="300" customWidth="1"/>
    <col min="9" max="9" width="15.28125" style="300" customWidth="1"/>
    <col min="10" max="10" width="13.7109375" style="300" customWidth="1"/>
    <col min="11" max="14" width="9.140625" style="300" customWidth="1"/>
    <col min="15" max="15" width="2.7109375" style="300" customWidth="1"/>
    <col min="16" max="16" width="10.421875" style="300" customWidth="1"/>
    <col min="17" max="16384" width="9.140625" style="300" customWidth="1"/>
  </cols>
  <sheetData>
    <row r="1" spans="1:10" ht="12.75">
      <c r="A1" s="318" t="s">
        <v>456</v>
      </c>
      <c r="B1" s="688" t="str">
        <f>Cover!D1</f>
        <v>Scottsdale Country Day School</v>
      </c>
      <c r="C1" s="688"/>
      <c r="D1" s="318" t="s">
        <v>331</v>
      </c>
      <c r="E1" s="688" t="str">
        <f>Cover!M1</f>
        <v>Maricopa</v>
      </c>
      <c r="F1" s="688"/>
      <c r="G1" s="688"/>
      <c r="H1" s="318" t="s">
        <v>190</v>
      </c>
      <c r="I1" s="689" t="str">
        <f>Cover!R1</f>
        <v>078243000</v>
      </c>
      <c r="J1" s="689"/>
    </row>
    <row r="2" spans="1:10" ht="12.75">
      <c r="A2" s="318"/>
      <c r="B2" s="373"/>
      <c r="C2" s="374"/>
      <c r="D2" s="318"/>
      <c r="E2" s="373"/>
      <c r="F2" s="374"/>
      <c r="G2" s="374"/>
      <c r="I2" s="318"/>
      <c r="J2" s="374"/>
    </row>
    <row r="3" spans="1:10" ht="12.75">
      <c r="A3" s="687" t="s">
        <v>419</v>
      </c>
      <c r="B3" s="687"/>
      <c r="C3" s="687"/>
      <c r="D3" s="687"/>
      <c r="E3" s="687"/>
      <c r="F3" s="687"/>
      <c r="G3" s="687"/>
      <c r="H3" s="687"/>
      <c r="I3" s="687"/>
      <c r="J3" s="687"/>
    </row>
    <row r="4" spans="1:10" ht="12.75">
      <c r="A4" s="687" t="s">
        <v>403</v>
      </c>
      <c r="B4" s="687"/>
      <c r="C4" s="687"/>
      <c r="D4" s="687"/>
      <c r="E4" s="687"/>
      <c r="F4" s="687"/>
      <c r="G4" s="687"/>
      <c r="H4" s="687"/>
      <c r="I4" s="687"/>
      <c r="J4" s="687"/>
    </row>
    <row r="5" spans="1:10" ht="12.75">
      <c r="A5" s="687" t="s">
        <v>420</v>
      </c>
      <c r="B5" s="687"/>
      <c r="C5" s="687"/>
      <c r="D5" s="687"/>
      <c r="E5" s="687"/>
      <c r="F5" s="687"/>
      <c r="G5" s="687"/>
      <c r="H5" s="687"/>
      <c r="I5" s="687"/>
      <c r="J5" s="687"/>
    </row>
    <row r="6" ht="12.75">
      <c r="J6" s="316" t="s">
        <v>481</v>
      </c>
    </row>
    <row r="8" spans="1:5" ht="12.75">
      <c r="A8" s="406" t="s">
        <v>366</v>
      </c>
      <c r="B8" s="407" t="s">
        <v>332</v>
      </c>
      <c r="C8" s="407" t="s">
        <v>333</v>
      </c>
      <c r="D8" s="408" t="s">
        <v>334</v>
      </c>
      <c r="E8" s="405" t="s">
        <v>202</v>
      </c>
    </row>
    <row r="9" spans="1:5" ht="12.75">
      <c r="A9" s="488" t="s">
        <v>428</v>
      </c>
      <c r="B9" s="375">
        <f>'Data Entry'!F17</f>
        <v>0</v>
      </c>
      <c r="C9" s="375">
        <f>'Data Entry'!I17</f>
        <v>158</v>
      </c>
      <c r="D9" s="375">
        <f>'Data Entry'!L17</f>
        <v>0</v>
      </c>
      <c r="E9" s="404">
        <f>SUM(B9:D9)</f>
        <v>158</v>
      </c>
    </row>
    <row r="12" ht="11.25" customHeight="1"/>
    <row r="13" spans="1:7" ht="42" customHeight="1">
      <c r="A13" s="384" t="s">
        <v>368</v>
      </c>
      <c r="C13" s="334" t="s">
        <v>367</v>
      </c>
      <c r="E13" s="377" t="s">
        <v>335</v>
      </c>
      <c r="G13" s="377" t="s">
        <v>369</v>
      </c>
    </row>
    <row r="14" spans="1:7" ht="12.75">
      <c r="A14" s="389" t="s">
        <v>332</v>
      </c>
      <c r="C14" s="375">
        <f>B9</f>
        <v>0</v>
      </c>
      <c r="D14" s="374" t="s">
        <v>342</v>
      </c>
      <c r="E14" s="378">
        <v>1.45</v>
      </c>
      <c r="F14" s="374" t="s">
        <v>340</v>
      </c>
      <c r="G14" s="375">
        <f>C14*E14</f>
        <v>0</v>
      </c>
    </row>
    <row r="15" spans="1:7" ht="12.75">
      <c r="A15" s="300" t="s">
        <v>333</v>
      </c>
      <c r="C15" s="375">
        <f>C9</f>
        <v>158</v>
      </c>
      <c r="D15" s="374" t="s">
        <v>342</v>
      </c>
      <c r="E15" s="378">
        <f>IF('Data Entry'!I20&gt;0,IF('Data Entry'!I20&lt;100,Calculations!L9,IF('Data Entry'!I20&lt;500,Calculations!L17,IF('Data Entry'!I20&lt;600,Calculations!L25,Calculations!L27))),0)</f>
        <v>1.381</v>
      </c>
      <c r="F15" s="374" t="s">
        <v>340</v>
      </c>
      <c r="G15" s="375">
        <f>C15*E15</f>
        <v>218.198</v>
      </c>
    </row>
    <row r="16" spans="1:7" ht="12.75">
      <c r="A16" s="393" t="s">
        <v>334</v>
      </c>
      <c r="C16" s="379">
        <f>D9</f>
        <v>0</v>
      </c>
      <c r="D16" s="374" t="s">
        <v>342</v>
      </c>
      <c r="E16" s="378">
        <f>IF('Data Entry'!L20&gt;0,IF('Data Entry'!L20&lt;100,Calculations!N9,IF('Data Entry'!L20&lt;500,Calculations!N17,IF('Data Entry'!L20&lt;600,Calculations!N25,Calculations!N27))),0)</f>
        <v>0</v>
      </c>
      <c r="F16" s="374" t="s">
        <v>340</v>
      </c>
      <c r="G16" s="379">
        <f>C16*E16</f>
        <v>0</v>
      </c>
    </row>
    <row r="17" spans="1:7" ht="12.75">
      <c r="A17" s="392" t="s">
        <v>370</v>
      </c>
      <c r="C17" s="380">
        <f>SUM(C14:C16)</f>
        <v>158</v>
      </c>
      <c r="G17" s="380">
        <f>SUM(G14:G16)</f>
        <v>218.198</v>
      </c>
    </row>
    <row r="18" ht="17.25" customHeight="1"/>
    <row r="19" ht="11.25" customHeight="1"/>
    <row r="21" spans="1:7" ht="42" customHeight="1">
      <c r="A21" s="381" t="s">
        <v>426</v>
      </c>
      <c r="C21" s="377" t="s">
        <v>433</v>
      </c>
      <c r="E21" s="377" t="s">
        <v>335</v>
      </c>
      <c r="G21" s="377" t="s">
        <v>435</v>
      </c>
    </row>
    <row r="22" spans="1:7" ht="12.75">
      <c r="A22" s="300" t="s">
        <v>350</v>
      </c>
      <c r="C22" s="382">
        <f>'Data Entry'!I38</f>
        <v>108</v>
      </c>
      <c r="D22" s="374" t="s">
        <v>342</v>
      </c>
      <c r="E22" s="378">
        <v>0.04</v>
      </c>
      <c r="F22" s="374" t="s">
        <v>340</v>
      </c>
      <c r="G22" s="382">
        <f>C22*E22</f>
        <v>4.32</v>
      </c>
    </row>
    <row r="23" spans="1:7" ht="12.75">
      <c r="A23" s="300" t="s">
        <v>351</v>
      </c>
      <c r="C23" s="382">
        <f>'Data Entry'!I39</f>
        <v>108</v>
      </c>
      <c r="D23" s="374" t="s">
        <v>342</v>
      </c>
      <c r="E23" s="378">
        <v>0.06</v>
      </c>
      <c r="F23" s="374" t="s">
        <v>340</v>
      </c>
      <c r="G23" s="382">
        <f aca="true" t="shared" si="0" ref="G23:G35">C23*E23</f>
        <v>6.48</v>
      </c>
    </row>
    <row r="24" spans="1:7" ht="12.75">
      <c r="A24" s="300" t="s">
        <v>371</v>
      </c>
      <c r="C24" s="382">
        <f>'Data Entry'!I40</f>
        <v>0</v>
      </c>
      <c r="D24" s="374" t="s">
        <v>342</v>
      </c>
      <c r="E24" s="378">
        <v>0.115</v>
      </c>
      <c r="F24" s="374" t="s">
        <v>340</v>
      </c>
      <c r="G24" s="382">
        <f t="shared" si="0"/>
        <v>0</v>
      </c>
    </row>
    <row r="25" spans="1:7" ht="12.75">
      <c r="A25" s="300" t="s">
        <v>372</v>
      </c>
      <c r="C25" s="382">
        <f>'Data Entry'!I41</f>
        <v>0</v>
      </c>
      <c r="D25" s="374" t="s">
        <v>342</v>
      </c>
      <c r="E25" s="378">
        <v>4.771</v>
      </c>
      <c r="F25" s="374" t="s">
        <v>340</v>
      </c>
      <c r="G25" s="382">
        <f t="shared" si="0"/>
        <v>0</v>
      </c>
    </row>
    <row r="26" spans="1:7" ht="12.75">
      <c r="A26" s="300" t="s">
        <v>373</v>
      </c>
      <c r="C26" s="382">
        <f>'Data Entry'!I42</f>
        <v>0</v>
      </c>
      <c r="D26" s="374" t="s">
        <v>342</v>
      </c>
      <c r="E26" s="378">
        <v>6.024</v>
      </c>
      <c r="F26" s="374" t="s">
        <v>340</v>
      </c>
      <c r="G26" s="382">
        <f t="shared" si="0"/>
        <v>0</v>
      </c>
    </row>
    <row r="27" spans="1:7" ht="12.75">
      <c r="A27" s="300" t="s">
        <v>374</v>
      </c>
      <c r="C27" s="382">
        <f>'Data Entry'!I43</f>
        <v>0</v>
      </c>
      <c r="D27" s="374" t="s">
        <v>342</v>
      </c>
      <c r="E27" s="378">
        <v>5.833</v>
      </c>
      <c r="F27" s="374" t="s">
        <v>340</v>
      </c>
      <c r="G27" s="382">
        <f t="shared" si="0"/>
        <v>0</v>
      </c>
    </row>
    <row r="28" spans="1:7" ht="12.75">
      <c r="A28" s="300" t="s">
        <v>421</v>
      </c>
      <c r="C28" s="382">
        <f>'Data Entry'!I44</f>
        <v>0</v>
      </c>
      <c r="D28" s="374" t="s">
        <v>342</v>
      </c>
      <c r="E28" s="378">
        <v>7.947</v>
      </c>
      <c r="F28" s="374" t="s">
        <v>340</v>
      </c>
      <c r="G28" s="382">
        <f t="shared" si="0"/>
        <v>0</v>
      </c>
    </row>
    <row r="29" spans="1:7" ht="12.75">
      <c r="A29" s="300" t="s">
        <v>422</v>
      </c>
      <c r="C29" s="382">
        <f>'Data Entry'!I45</f>
        <v>0</v>
      </c>
      <c r="D29" s="374" t="s">
        <v>342</v>
      </c>
      <c r="E29" s="378">
        <v>3.158</v>
      </c>
      <c r="F29" s="374" t="s">
        <v>340</v>
      </c>
      <c r="G29" s="382">
        <f t="shared" si="0"/>
        <v>0</v>
      </c>
    </row>
    <row r="30" spans="1:7" ht="12.75">
      <c r="A30" s="300" t="s">
        <v>423</v>
      </c>
      <c r="C30" s="382">
        <f>'Data Entry'!I46</f>
        <v>0</v>
      </c>
      <c r="D30" s="374" t="s">
        <v>342</v>
      </c>
      <c r="E30" s="378">
        <v>6.773</v>
      </c>
      <c r="F30" s="374" t="s">
        <v>340</v>
      </c>
      <c r="G30" s="382">
        <f t="shared" si="0"/>
        <v>0</v>
      </c>
    </row>
    <row r="31" spans="1:7" ht="12.75">
      <c r="A31" s="300" t="s">
        <v>375</v>
      </c>
      <c r="C31" s="382">
        <f>'Data Entry'!I47</f>
        <v>0</v>
      </c>
      <c r="D31" s="374" t="s">
        <v>342</v>
      </c>
      <c r="E31" s="378">
        <v>3.595</v>
      </c>
      <c r="F31" s="374" t="s">
        <v>340</v>
      </c>
      <c r="G31" s="382">
        <f t="shared" si="0"/>
        <v>0</v>
      </c>
    </row>
    <row r="32" spans="1:7" ht="12.75">
      <c r="A32" s="300" t="s">
        <v>378</v>
      </c>
      <c r="C32" s="382">
        <f>'Data Entry'!I48</f>
        <v>8</v>
      </c>
      <c r="D32" s="374" t="s">
        <v>342</v>
      </c>
      <c r="E32" s="378">
        <v>0.003</v>
      </c>
      <c r="F32" s="374" t="s">
        <v>340</v>
      </c>
      <c r="G32" s="382">
        <f t="shared" si="0"/>
        <v>0.024</v>
      </c>
    </row>
    <row r="33" spans="1:7" ht="12.75">
      <c r="A33" s="300" t="s">
        <v>424</v>
      </c>
      <c r="C33" s="382">
        <f>'Data Entry'!I49</f>
        <v>0</v>
      </c>
      <c r="D33" s="374" t="s">
        <v>342</v>
      </c>
      <c r="E33" s="378">
        <v>4.822</v>
      </c>
      <c r="F33" s="374" t="s">
        <v>340</v>
      </c>
      <c r="G33" s="382">
        <f t="shared" si="0"/>
        <v>0</v>
      </c>
    </row>
    <row r="34" spans="1:7" ht="12.75">
      <c r="A34" s="300" t="s">
        <v>376</v>
      </c>
      <c r="C34" s="382">
        <f>'Data Entry'!I50</f>
        <v>0</v>
      </c>
      <c r="D34" s="374" t="s">
        <v>342</v>
      </c>
      <c r="E34" s="378">
        <v>4.421</v>
      </c>
      <c r="F34" s="374" t="s">
        <v>340</v>
      </c>
      <c r="G34" s="382">
        <f t="shared" si="0"/>
        <v>0</v>
      </c>
    </row>
    <row r="35" spans="1:7" ht="12.75">
      <c r="A35" s="300" t="s">
        <v>377</v>
      </c>
      <c r="C35" s="382">
        <f>'Data Entry'!I51</f>
        <v>0</v>
      </c>
      <c r="D35" s="374" t="s">
        <v>342</v>
      </c>
      <c r="E35" s="378">
        <v>4.806</v>
      </c>
      <c r="F35" s="374" t="s">
        <v>340</v>
      </c>
      <c r="G35" s="398">
        <f t="shared" si="0"/>
        <v>0</v>
      </c>
    </row>
    <row r="36" spans="1:7" ht="12.75">
      <c r="A36" s="316" t="s">
        <v>425</v>
      </c>
      <c r="G36" s="399">
        <f>SUM(G22:G35)</f>
        <v>10.824</v>
      </c>
    </row>
    <row r="37" ht="12.75">
      <c r="A37" s="383"/>
    </row>
    <row r="39" spans="1:10" ht="12.75">
      <c r="A39" s="687" t="s">
        <v>419</v>
      </c>
      <c r="B39" s="687"/>
      <c r="C39" s="687"/>
      <c r="D39" s="687"/>
      <c r="E39" s="687"/>
      <c r="F39" s="687"/>
      <c r="G39" s="687"/>
      <c r="H39" s="687"/>
      <c r="I39" s="687"/>
      <c r="J39" s="687"/>
    </row>
    <row r="40" spans="1:10" ht="12.75">
      <c r="A40" s="687" t="s">
        <v>403</v>
      </c>
      <c r="B40" s="687"/>
      <c r="C40" s="687"/>
      <c r="D40" s="687"/>
      <c r="E40" s="687"/>
      <c r="F40" s="687"/>
      <c r="G40" s="687"/>
      <c r="H40" s="687"/>
      <c r="I40" s="687"/>
      <c r="J40" s="687"/>
    </row>
    <row r="41" spans="1:10" ht="12.75">
      <c r="A41" s="687" t="s">
        <v>420</v>
      </c>
      <c r="B41" s="687"/>
      <c r="C41" s="687"/>
      <c r="D41" s="687"/>
      <c r="E41" s="687"/>
      <c r="F41" s="687"/>
      <c r="G41" s="687"/>
      <c r="H41" s="687"/>
      <c r="I41" s="687"/>
      <c r="J41" s="687"/>
    </row>
    <row r="42" ht="12.75">
      <c r="J42" s="316" t="s">
        <v>482</v>
      </c>
    </row>
    <row r="44" spans="1:4" ht="12.75">
      <c r="A44" s="406" t="s">
        <v>404</v>
      </c>
      <c r="B44" s="407" t="s">
        <v>333</v>
      </c>
      <c r="C44" s="408" t="s">
        <v>334</v>
      </c>
      <c r="D44" s="407" t="s">
        <v>202</v>
      </c>
    </row>
    <row r="45" spans="1:4" ht="12.75">
      <c r="A45" s="396" t="s">
        <v>428</v>
      </c>
      <c r="B45" s="375">
        <f>'Data Entry'!I18</f>
        <v>0</v>
      </c>
      <c r="C45" s="375">
        <f>'Data Entry'!L18</f>
        <v>0</v>
      </c>
      <c r="D45" s="375">
        <f>SUM(B45:C45)</f>
        <v>0</v>
      </c>
    </row>
    <row r="48" ht="11.25" customHeight="1"/>
    <row r="49" spans="1:7" ht="42" customHeight="1">
      <c r="A49" s="384" t="s">
        <v>368</v>
      </c>
      <c r="C49" s="334" t="s">
        <v>367</v>
      </c>
      <c r="E49" s="377" t="s">
        <v>335</v>
      </c>
      <c r="G49" s="377" t="s">
        <v>369</v>
      </c>
    </row>
    <row r="50" spans="1:7" ht="12.75">
      <c r="A50" s="300" t="s">
        <v>333</v>
      </c>
      <c r="C50" s="375">
        <f>B45</f>
        <v>0</v>
      </c>
      <c r="D50" s="374" t="s">
        <v>342</v>
      </c>
      <c r="E50" s="378">
        <f>IF('Data Entry'!I20&gt;0,IF('Data Entry'!I20&lt;100,Calculations!L9,IF('Data Entry'!I20&lt;500,Calculations!L17,IF('Data Entry'!I20&lt;600,Calculations!L25,Calculations!L27))),0)</f>
        <v>1.381</v>
      </c>
      <c r="F50" s="374" t="s">
        <v>340</v>
      </c>
      <c r="G50" s="375">
        <f>C50*E50</f>
        <v>0</v>
      </c>
    </row>
    <row r="51" spans="1:7" ht="12.75">
      <c r="A51" s="394" t="s">
        <v>334</v>
      </c>
      <c r="C51" s="379">
        <f>C45</f>
        <v>0</v>
      </c>
      <c r="D51" s="374" t="s">
        <v>342</v>
      </c>
      <c r="E51" s="378">
        <f>IF('Data Entry'!L20&gt;0,IF('Data Entry'!L20&lt;100,Calculations!N9,IF('Data Entry'!L20&lt;500,Calculations!N17,IF('Data Entry'!L20&lt;600,Calculations!N25,Calculations!N27))),0)</f>
        <v>0</v>
      </c>
      <c r="F51" s="374" t="s">
        <v>340</v>
      </c>
      <c r="G51" s="379">
        <f>C51*E51</f>
        <v>0</v>
      </c>
    </row>
    <row r="52" spans="1:7" ht="12.75">
      <c r="A52" s="392" t="s">
        <v>370</v>
      </c>
      <c r="C52" s="380">
        <f>SUM(C50:C51)</f>
        <v>0</v>
      </c>
      <c r="G52" s="380">
        <f>SUM(G50:G51)</f>
        <v>0</v>
      </c>
    </row>
    <row r="56" spans="1:7" ht="42" customHeight="1">
      <c r="A56" s="381" t="s">
        <v>426</v>
      </c>
      <c r="C56" s="377" t="s">
        <v>434</v>
      </c>
      <c r="E56" s="377" t="s">
        <v>335</v>
      </c>
      <c r="G56" s="377" t="s">
        <v>435</v>
      </c>
    </row>
    <row r="57" spans="1:7" ht="12.75">
      <c r="A57" s="300" t="s">
        <v>350</v>
      </c>
      <c r="C57" s="382">
        <f>'Data Entry'!J38</f>
        <v>0</v>
      </c>
      <c r="D57" s="374" t="s">
        <v>342</v>
      </c>
      <c r="E57" s="378">
        <v>0.04</v>
      </c>
      <c r="F57" s="374" t="s">
        <v>340</v>
      </c>
      <c r="G57" s="382">
        <f>C57*E57</f>
        <v>0</v>
      </c>
    </row>
    <row r="58" spans="1:7" ht="12.75">
      <c r="A58" s="300" t="s">
        <v>351</v>
      </c>
      <c r="C58" s="382">
        <f>'Data Entry'!J39</f>
        <v>0</v>
      </c>
      <c r="D58" s="374" t="s">
        <v>342</v>
      </c>
      <c r="E58" s="378">
        <v>0.06</v>
      </c>
      <c r="F58" s="374" t="s">
        <v>340</v>
      </c>
      <c r="G58" s="382">
        <f aca="true" t="shared" si="1" ref="G58:G69">C58*E58</f>
        <v>0</v>
      </c>
    </row>
    <row r="59" spans="1:7" ht="12.75">
      <c r="A59" s="300" t="s">
        <v>371</v>
      </c>
      <c r="C59" s="382">
        <f>'Data Entry'!J40</f>
        <v>0</v>
      </c>
      <c r="D59" s="374" t="s">
        <v>342</v>
      </c>
      <c r="E59" s="378">
        <v>0.115</v>
      </c>
      <c r="F59" s="374" t="s">
        <v>340</v>
      </c>
      <c r="G59" s="382">
        <f t="shared" si="1"/>
        <v>0</v>
      </c>
    </row>
    <row r="60" spans="1:7" ht="12.75">
      <c r="A60" s="300" t="s">
        <v>372</v>
      </c>
      <c r="C60" s="382">
        <f>'Data Entry'!J41</f>
        <v>0</v>
      </c>
      <c r="D60" s="374" t="s">
        <v>342</v>
      </c>
      <c r="E60" s="378">
        <v>4.771</v>
      </c>
      <c r="F60" s="374" t="s">
        <v>340</v>
      </c>
      <c r="G60" s="382">
        <f t="shared" si="1"/>
        <v>0</v>
      </c>
    </row>
    <row r="61" spans="1:7" ht="12.75">
      <c r="A61" s="300" t="s">
        <v>373</v>
      </c>
      <c r="C61" s="382">
        <f>'Data Entry'!J42</f>
        <v>0</v>
      </c>
      <c r="D61" s="374" t="s">
        <v>342</v>
      </c>
      <c r="E61" s="378">
        <v>6.024</v>
      </c>
      <c r="F61" s="374" t="s">
        <v>340</v>
      </c>
      <c r="G61" s="382">
        <f t="shared" si="1"/>
        <v>0</v>
      </c>
    </row>
    <row r="62" spans="1:7" ht="12.75">
      <c r="A62" s="300" t="s">
        <v>374</v>
      </c>
      <c r="C62" s="382">
        <f>'Data Entry'!J43</f>
        <v>0</v>
      </c>
      <c r="D62" s="374" t="s">
        <v>342</v>
      </c>
      <c r="E62" s="378">
        <v>5.833</v>
      </c>
      <c r="F62" s="374" t="s">
        <v>340</v>
      </c>
      <c r="G62" s="382">
        <f t="shared" si="1"/>
        <v>0</v>
      </c>
    </row>
    <row r="63" spans="1:7" ht="12.75">
      <c r="A63" s="300" t="s">
        <v>421</v>
      </c>
      <c r="C63" s="382">
        <f>'Data Entry'!J44</f>
        <v>0</v>
      </c>
      <c r="D63" s="374" t="s">
        <v>342</v>
      </c>
      <c r="E63" s="378">
        <v>7.947</v>
      </c>
      <c r="F63" s="374" t="s">
        <v>340</v>
      </c>
      <c r="G63" s="382">
        <f t="shared" si="1"/>
        <v>0</v>
      </c>
    </row>
    <row r="64" spans="1:7" ht="12.75">
      <c r="A64" s="300" t="s">
        <v>422</v>
      </c>
      <c r="C64" s="382">
        <f>'Data Entry'!J45</f>
        <v>0</v>
      </c>
      <c r="D64" s="374" t="s">
        <v>342</v>
      </c>
      <c r="E64" s="378">
        <v>3.158</v>
      </c>
      <c r="F64" s="374" t="s">
        <v>340</v>
      </c>
      <c r="G64" s="382">
        <f t="shared" si="1"/>
        <v>0</v>
      </c>
    </row>
    <row r="65" spans="1:7" ht="12.75">
      <c r="A65" s="300" t="s">
        <v>423</v>
      </c>
      <c r="C65" s="382">
        <f>'Data Entry'!J46</f>
        <v>0</v>
      </c>
      <c r="D65" s="374" t="s">
        <v>342</v>
      </c>
      <c r="E65" s="378">
        <v>6.773</v>
      </c>
      <c r="F65" s="374" t="s">
        <v>340</v>
      </c>
      <c r="G65" s="382">
        <f t="shared" si="1"/>
        <v>0</v>
      </c>
    </row>
    <row r="66" spans="1:7" ht="12.75">
      <c r="A66" s="300" t="s">
        <v>378</v>
      </c>
      <c r="C66" s="382">
        <f>'Data Entry'!J48</f>
        <v>0</v>
      </c>
      <c r="D66" s="374" t="s">
        <v>342</v>
      </c>
      <c r="E66" s="378">
        <v>0.003</v>
      </c>
      <c r="F66" s="374" t="s">
        <v>340</v>
      </c>
      <c r="G66" s="382">
        <f t="shared" si="1"/>
        <v>0</v>
      </c>
    </row>
    <row r="67" spans="1:7" ht="12.75">
      <c r="A67" s="300" t="s">
        <v>424</v>
      </c>
      <c r="C67" s="382">
        <f>'Data Entry'!J49</f>
        <v>0</v>
      </c>
      <c r="D67" s="374" t="s">
        <v>342</v>
      </c>
      <c r="E67" s="378">
        <v>4.822</v>
      </c>
      <c r="F67" s="374" t="s">
        <v>340</v>
      </c>
      <c r="G67" s="382">
        <f t="shared" si="1"/>
        <v>0</v>
      </c>
    </row>
    <row r="68" spans="1:7" ht="12.75">
      <c r="A68" s="300" t="s">
        <v>376</v>
      </c>
      <c r="C68" s="382">
        <f>'Data Entry'!J50</f>
        <v>0</v>
      </c>
      <c r="D68" s="374" t="s">
        <v>342</v>
      </c>
      <c r="E68" s="378">
        <v>4.421</v>
      </c>
      <c r="F68" s="374" t="s">
        <v>340</v>
      </c>
      <c r="G68" s="382">
        <f t="shared" si="1"/>
        <v>0</v>
      </c>
    </row>
    <row r="69" spans="1:7" ht="12.75">
      <c r="A69" s="300" t="s">
        <v>377</v>
      </c>
      <c r="C69" s="382">
        <f>'Data Entry'!J51</f>
        <v>0</v>
      </c>
      <c r="D69" s="374" t="s">
        <v>342</v>
      </c>
      <c r="E69" s="378">
        <v>4.806</v>
      </c>
      <c r="F69" s="374" t="s">
        <v>340</v>
      </c>
      <c r="G69" s="398">
        <f t="shared" si="1"/>
        <v>0</v>
      </c>
    </row>
    <row r="70" spans="1:7" ht="12.75">
      <c r="A70" s="316" t="s">
        <v>425</v>
      </c>
      <c r="G70" s="399">
        <f>SUM(G57:G69)</f>
        <v>0</v>
      </c>
    </row>
    <row r="71" ht="12.75">
      <c r="A71" s="383"/>
    </row>
    <row r="73" spans="1:10" ht="12.75">
      <c r="A73" s="687" t="s">
        <v>419</v>
      </c>
      <c r="B73" s="687"/>
      <c r="C73" s="687"/>
      <c r="D73" s="687"/>
      <c r="E73" s="687"/>
      <c r="F73" s="687"/>
      <c r="G73" s="687"/>
      <c r="H73" s="687"/>
      <c r="I73" s="687"/>
      <c r="J73" s="687"/>
    </row>
    <row r="74" spans="1:10" ht="12.75">
      <c r="A74" s="687" t="s">
        <v>403</v>
      </c>
      <c r="B74" s="687"/>
      <c r="C74" s="687"/>
      <c r="D74" s="687"/>
      <c r="E74" s="687"/>
      <c r="F74" s="687"/>
      <c r="G74" s="687"/>
      <c r="H74" s="687"/>
      <c r="I74" s="687"/>
      <c r="J74" s="687"/>
    </row>
    <row r="75" spans="1:10" ht="12.75">
      <c r="A75" s="687" t="s">
        <v>420</v>
      </c>
      <c r="B75" s="687"/>
      <c r="C75" s="687"/>
      <c r="D75" s="687"/>
      <c r="E75" s="687"/>
      <c r="F75" s="687"/>
      <c r="G75" s="687"/>
      <c r="H75" s="687"/>
      <c r="I75" s="687"/>
      <c r="J75" s="687"/>
    </row>
    <row r="76" ht="12.75">
      <c r="J76" s="316" t="s">
        <v>484</v>
      </c>
    </row>
    <row r="78" spans="1:4" ht="12.75">
      <c r="A78" s="406" t="s">
        <v>405</v>
      </c>
      <c r="B78" s="407" t="s">
        <v>333</v>
      </c>
      <c r="C78" s="408" t="s">
        <v>334</v>
      </c>
      <c r="D78" s="407" t="s">
        <v>202</v>
      </c>
    </row>
    <row r="79" spans="1:4" ht="12.75">
      <c r="A79" s="396" t="s">
        <v>427</v>
      </c>
      <c r="B79" s="375">
        <f>'Data Entry'!I19</f>
        <v>0</v>
      </c>
      <c r="C79" s="375">
        <f>'Data Entry'!L19</f>
        <v>0</v>
      </c>
      <c r="D79" s="375">
        <f>SUM(B79:C79)</f>
        <v>0</v>
      </c>
    </row>
    <row r="82" ht="11.25" customHeight="1"/>
    <row r="83" spans="1:7" ht="42" customHeight="1">
      <c r="A83" s="384" t="s">
        <v>368</v>
      </c>
      <c r="C83" s="334" t="s">
        <v>367</v>
      </c>
      <c r="E83" s="377" t="s">
        <v>335</v>
      </c>
      <c r="G83" s="377" t="s">
        <v>369</v>
      </c>
    </row>
    <row r="84" spans="1:7" ht="12.75">
      <c r="A84" s="300" t="s">
        <v>333</v>
      </c>
      <c r="C84" s="375">
        <f>B79</f>
        <v>0</v>
      </c>
      <c r="D84" s="374" t="s">
        <v>342</v>
      </c>
      <c r="E84" s="378">
        <f>IF('Data Entry'!I20&gt;0,IF('Data Entry'!I20&lt;100,Calculations!L9,IF('Data Entry'!I20&lt;500,Calculations!L17,IF('Data Entry'!I20&lt;600,Calculations!L25,Calculations!L27))),0)</f>
        <v>1.381</v>
      </c>
      <c r="F84" s="374" t="s">
        <v>340</v>
      </c>
      <c r="G84" s="375">
        <f>C84*E84</f>
        <v>0</v>
      </c>
    </row>
    <row r="85" spans="1:7" ht="12.75">
      <c r="A85" s="394" t="s">
        <v>334</v>
      </c>
      <c r="C85" s="379">
        <f>C79</f>
        <v>0</v>
      </c>
      <c r="D85" s="374" t="s">
        <v>342</v>
      </c>
      <c r="E85" s="378">
        <f>IF('Data Entry'!L20&gt;0,IF('Data Entry'!L20&lt;100,Calculations!N9,IF('Data Entry'!L20&lt;500,Calculations!N17,IF('Data Entry'!L20&lt;600,Calculations!N25,Calculations!N27))),0)</f>
        <v>0</v>
      </c>
      <c r="F85" s="374" t="s">
        <v>340</v>
      </c>
      <c r="G85" s="379">
        <f>C85*E85</f>
        <v>0</v>
      </c>
    </row>
    <row r="86" spans="1:7" ht="12.75">
      <c r="A86" s="392" t="s">
        <v>370</v>
      </c>
      <c r="C86" s="380">
        <f>SUM(C84:C85)</f>
        <v>0</v>
      </c>
      <c r="G86" s="380">
        <f>SUM(G84:G85)</f>
        <v>0</v>
      </c>
    </row>
    <row r="90" spans="1:7" ht="42" customHeight="1">
      <c r="A90" s="381" t="s">
        <v>430</v>
      </c>
      <c r="C90" s="377" t="s">
        <v>434</v>
      </c>
      <c r="E90" s="377" t="s">
        <v>335</v>
      </c>
      <c r="G90" s="377" t="s">
        <v>435</v>
      </c>
    </row>
    <row r="91" spans="1:7" ht="12.75">
      <c r="A91" s="300" t="s">
        <v>350</v>
      </c>
      <c r="C91" s="382">
        <f>'Data Entry'!K38</f>
        <v>0</v>
      </c>
      <c r="D91" s="374" t="s">
        <v>342</v>
      </c>
      <c r="E91" s="378">
        <v>0.04</v>
      </c>
      <c r="F91" s="374" t="s">
        <v>340</v>
      </c>
      <c r="G91" s="382">
        <f>C91*E91</f>
        <v>0</v>
      </c>
    </row>
    <row r="92" spans="1:7" ht="12.75">
      <c r="A92" s="300" t="s">
        <v>351</v>
      </c>
      <c r="C92" s="382">
        <f>'Data Entry'!K39</f>
        <v>0</v>
      </c>
      <c r="D92" s="374" t="s">
        <v>342</v>
      </c>
      <c r="E92" s="378">
        <v>0.06</v>
      </c>
      <c r="F92" s="374" t="s">
        <v>340</v>
      </c>
      <c r="G92" s="382">
        <f aca="true" t="shared" si="2" ref="G92:G103">C92*E92</f>
        <v>0</v>
      </c>
    </row>
    <row r="93" spans="1:7" ht="12.75">
      <c r="A93" s="300" t="s">
        <v>371</v>
      </c>
      <c r="C93" s="382">
        <f>'Data Entry'!K40</f>
        <v>0</v>
      </c>
      <c r="D93" s="374" t="s">
        <v>342</v>
      </c>
      <c r="E93" s="378">
        <v>0.115</v>
      </c>
      <c r="F93" s="374" t="s">
        <v>340</v>
      </c>
      <c r="G93" s="382">
        <f t="shared" si="2"/>
        <v>0</v>
      </c>
    </row>
    <row r="94" spans="1:7" ht="12.75">
      <c r="A94" s="300" t="s">
        <v>372</v>
      </c>
      <c r="C94" s="382">
        <f>'Data Entry'!K41</f>
        <v>0</v>
      </c>
      <c r="D94" s="374" t="s">
        <v>342</v>
      </c>
      <c r="E94" s="378">
        <v>4.771</v>
      </c>
      <c r="F94" s="374" t="s">
        <v>340</v>
      </c>
      <c r="G94" s="382">
        <f t="shared" si="2"/>
        <v>0</v>
      </c>
    </row>
    <row r="95" spans="1:7" ht="12.75">
      <c r="A95" s="300" t="s">
        <v>373</v>
      </c>
      <c r="C95" s="382">
        <f>'Data Entry'!K42</f>
        <v>0</v>
      </c>
      <c r="D95" s="374" t="s">
        <v>342</v>
      </c>
      <c r="E95" s="378">
        <v>6.024</v>
      </c>
      <c r="F95" s="374" t="s">
        <v>340</v>
      </c>
      <c r="G95" s="382">
        <f t="shared" si="2"/>
        <v>0</v>
      </c>
    </row>
    <row r="96" spans="1:7" ht="12.75">
      <c r="A96" s="300" t="s">
        <v>374</v>
      </c>
      <c r="C96" s="382">
        <f>'Data Entry'!K43</f>
        <v>0</v>
      </c>
      <c r="D96" s="374" t="s">
        <v>342</v>
      </c>
      <c r="E96" s="378">
        <v>5.833</v>
      </c>
      <c r="F96" s="374" t="s">
        <v>340</v>
      </c>
      <c r="G96" s="382">
        <f t="shared" si="2"/>
        <v>0</v>
      </c>
    </row>
    <row r="97" spans="1:7" ht="12.75">
      <c r="A97" s="300" t="s">
        <v>421</v>
      </c>
      <c r="C97" s="382">
        <f>'Data Entry'!K44</f>
        <v>0</v>
      </c>
      <c r="D97" s="374" t="s">
        <v>342</v>
      </c>
      <c r="E97" s="378">
        <v>7.947</v>
      </c>
      <c r="F97" s="374" t="s">
        <v>340</v>
      </c>
      <c r="G97" s="382">
        <f t="shared" si="2"/>
        <v>0</v>
      </c>
    </row>
    <row r="98" spans="1:7" ht="12.75">
      <c r="A98" s="300" t="s">
        <v>422</v>
      </c>
      <c r="C98" s="382">
        <f>'Data Entry'!K45</f>
        <v>0</v>
      </c>
      <c r="D98" s="374" t="s">
        <v>342</v>
      </c>
      <c r="E98" s="378">
        <v>3.158</v>
      </c>
      <c r="F98" s="374" t="s">
        <v>340</v>
      </c>
      <c r="G98" s="382">
        <f t="shared" si="2"/>
        <v>0</v>
      </c>
    </row>
    <row r="99" spans="1:7" ht="12.75">
      <c r="A99" s="300" t="s">
        <v>423</v>
      </c>
      <c r="C99" s="382">
        <f>'Data Entry'!K46</f>
        <v>0</v>
      </c>
      <c r="D99" s="374" t="s">
        <v>342</v>
      </c>
      <c r="E99" s="378">
        <v>6.773</v>
      </c>
      <c r="F99" s="374" t="s">
        <v>340</v>
      </c>
      <c r="G99" s="382">
        <f t="shared" si="2"/>
        <v>0</v>
      </c>
    </row>
    <row r="100" spans="1:7" ht="12.75">
      <c r="A100" s="300" t="s">
        <v>378</v>
      </c>
      <c r="C100" s="382">
        <f>'Data Entry'!K48</f>
        <v>0</v>
      </c>
      <c r="D100" s="374" t="s">
        <v>342</v>
      </c>
      <c r="E100" s="378">
        <v>0.003</v>
      </c>
      <c r="F100" s="374" t="s">
        <v>340</v>
      </c>
      <c r="G100" s="382">
        <f t="shared" si="2"/>
        <v>0</v>
      </c>
    </row>
    <row r="101" spans="1:7" ht="12.75">
      <c r="A101" s="300" t="s">
        <v>424</v>
      </c>
      <c r="C101" s="382">
        <f>'Data Entry'!K49</f>
        <v>0</v>
      </c>
      <c r="D101" s="374" t="s">
        <v>342</v>
      </c>
      <c r="E101" s="378">
        <v>4.822</v>
      </c>
      <c r="F101" s="374" t="s">
        <v>340</v>
      </c>
      <c r="G101" s="382">
        <f t="shared" si="2"/>
        <v>0</v>
      </c>
    </row>
    <row r="102" spans="1:7" ht="12.75">
      <c r="A102" s="300" t="s">
        <v>376</v>
      </c>
      <c r="C102" s="382">
        <f>'Data Entry'!K50</f>
        <v>0</v>
      </c>
      <c r="D102" s="374" t="s">
        <v>342</v>
      </c>
      <c r="E102" s="378">
        <v>4.421</v>
      </c>
      <c r="F102" s="374" t="s">
        <v>340</v>
      </c>
      <c r="G102" s="382">
        <f t="shared" si="2"/>
        <v>0</v>
      </c>
    </row>
    <row r="103" spans="1:7" ht="12.75">
      <c r="A103" s="300" t="s">
        <v>377</v>
      </c>
      <c r="C103" s="382">
        <f>'Data Entry'!K51</f>
        <v>0</v>
      </c>
      <c r="D103" s="374" t="s">
        <v>342</v>
      </c>
      <c r="E103" s="378">
        <v>4.806</v>
      </c>
      <c r="F103" s="374" t="s">
        <v>340</v>
      </c>
      <c r="G103" s="398">
        <f t="shared" si="2"/>
        <v>0</v>
      </c>
    </row>
    <row r="104" spans="1:7" ht="12.75">
      <c r="A104" s="316" t="s">
        <v>425</v>
      </c>
      <c r="G104" s="399">
        <f>SUM(G91:G103)</f>
        <v>0</v>
      </c>
    </row>
    <row r="105" spans="1:7" ht="12.75">
      <c r="A105" s="316"/>
      <c r="G105" s="399"/>
    </row>
    <row r="106" spans="1:7" ht="12.75">
      <c r="A106" s="316"/>
      <c r="G106" s="399"/>
    </row>
    <row r="107" spans="1:10" ht="12.75">
      <c r="A107" s="687" t="s">
        <v>419</v>
      </c>
      <c r="B107" s="687"/>
      <c r="C107" s="687"/>
      <c r="D107" s="687"/>
      <c r="E107" s="687"/>
      <c r="F107" s="687"/>
      <c r="G107" s="687"/>
      <c r="H107" s="687"/>
      <c r="I107" s="687"/>
      <c r="J107" s="687"/>
    </row>
    <row r="108" spans="1:10" ht="12.75">
      <c r="A108" s="687" t="s">
        <v>403</v>
      </c>
      <c r="B108" s="687"/>
      <c r="C108" s="687"/>
      <c r="D108" s="687"/>
      <c r="E108" s="687"/>
      <c r="F108" s="687"/>
      <c r="G108" s="687"/>
      <c r="H108" s="687"/>
      <c r="I108" s="687"/>
      <c r="J108" s="687"/>
    </row>
    <row r="109" spans="1:10" ht="12.75">
      <c r="A109" s="687" t="s">
        <v>420</v>
      </c>
      <c r="B109" s="687"/>
      <c r="C109" s="687"/>
      <c r="D109" s="687"/>
      <c r="E109" s="687"/>
      <c r="F109" s="687"/>
      <c r="G109" s="687"/>
      <c r="H109" s="687"/>
      <c r="I109" s="687"/>
      <c r="J109" s="687"/>
    </row>
    <row r="110" spans="1:10" ht="12.75">
      <c r="A110" s="319"/>
      <c r="B110" s="319"/>
      <c r="C110" s="319"/>
      <c r="D110" s="319"/>
      <c r="E110" s="319"/>
      <c r="F110" s="319"/>
      <c r="G110" s="319"/>
      <c r="H110" s="319"/>
      <c r="I110" s="319"/>
      <c r="J110" s="316" t="s">
        <v>483</v>
      </c>
    </row>
    <row r="111" spans="1:9" ht="42" customHeight="1">
      <c r="A111" s="384" t="s">
        <v>429</v>
      </c>
      <c r="C111" s="334" t="s">
        <v>431</v>
      </c>
      <c r="D111" s="397"/>
      <c r="E111" s="377" t="s">
        <v>432</v>
      </c>
      <c r="I111" s="334" t="s">
        <v>406</v>
      </c>
    </row>
    <row r="112" spans="1:9" ht="12.75">
      <c r="A112" s="300" t="s">
        <v>366</v>
      </c>
      <c r="C112" s="375">
        <f>G17</f>
        <v>218.198</v>
      </c>
      <c r="D112" s="374" t="s">
        <v>344</v>
      </c>
      <c r="E112" s="375">
        <f>G36</f>
        <v>10.824</v>
      </c>
      <c r="F112" s="374"/>
      <c r="H112" s="374" t="s">
        <v>340</v>
      </c>
      <c r="I112" s="375">
        <f>(C112+E112)</f>
        <v>229.022</v>
      </c>
    </row>
    <row r="113" spans="1:9" ht="12.75">
      <c r="A113" s="300" t="s">
        <v>404</v>
      </c>
      <c r="C113" s="375">
        <f>G52</f>
        <v>0</v>
      </c>
      <c r="D113" s="374" t="s">
        <v>344</v>
      </c>
      <c r="E113" s="375">
        <f>G70</f>
        <v>0</v>
      </c>
      <c r="F113" s="374" t="s">
        <v>342</v>
      </c>
      <c r="G113" s="300">
        <v>0.95</v>
      </c>
      <c r="H113" s="374" t="s">
        <v>340</v>
      </c>
      <c r="I113" s="375">
        <f>(C113+E113)*0.95</f>
        <v>0</v>
      </c>
    </row>
    <row r="114" spans="1:9" ht="12.75">
      <c r="A114" s="300" t="s">
        <v>405</v>
      </c>
      <c r="C114" s="375">
        <f>G86</f>
        <v>0</v>
      </c>
      <c r="D114" s="374" t="s">
        <v>344</v>
      </c>
      <c r="E114" s="375">
        <f>G104</f>
        <v>0</v>
      </c>
      <c r="F114" s="374" t="s">
        <v>342</v>
      </c>
      <c r="G114" s="300">
        <v>0.85</v>
      </c>
      <c r="H114" s="374" t="s">
        <v>340</v>
      </c>
      <c r="I114" s="379">
        <f>(C114+E114)*0.85</f>
        <v>0</v>
      </c>
    </row>
    <row r="115" spans="5:9" ht="12.75">
      <c r="E115" s="389"/>
      <c r="I115" s="380">
        <f>SUM(I112:I114)</f>
        <v>229.022</v>
      </c>
    </row>
    <row r="117" spans="1:7" ht="12.75">
      <c r="A117" s="384" t="s">
        <v>407</v>
      </c>
      <c r="E117" s="384" t="s">
        <v>381</v>
      </c>
      <c r="F117" s="376"/>
      <c r="G117" s="376"/>
    </row>
    <row r="118" spans="1:9" ht="12.75">
      <c r="A118" s="300" t="s">
        <v>361</v>
      </c>
      <c r="C118" s="375">
        <f>I115</f>
        <v>229.022</v>
      </c>
      <c r="E118" s="300" t="s">
        <v>382</v>
      </c>
      <c r="H118" s="388">
        <f>'Data Entry'!N68</f>
        <v>8500</v>
      </c>
      <c r="I118" s="388"/>
    </row>
    <row r="119" spans="1:8" ht="12.75">
      <c r="A119" s="300" t="s">
        <v>380</v>
      </c>
      <c r="C119" s="443">
        <f>Calculations!L70</f>
        <v>4150.43</v>
      </c>
      <c r="H119" s="376"/>
    </row>
    <row r="120" spans="1:8" ht="12.75">
      <c r="A120" s="300" t="s">
        <v>379</v>
      </c>
      <c r="C120" s="391">
        <f>C118*C119</f>
        <v>950539.78</v>
      </c>
      <c r="H120" s="391">
        <f>H118</f>
        <v>8500</v>
      </c>
    </row>
    <row r="121" spans="3:8" ht="12.75">
      <c r="C121" s="391"/>
      <c r="H121" s="391"/>
    </row>
    <row r="122" spans="1:3" ht="12.75">
      <c r="A122" s="300" t="s">
        <v>381</v>
      </c>
      <c r="C122" s="390">
        <f>H120</f>
        <v>8500</v>
      </c>
    </row>
    <row r="123" spans="1:3" ht="12.75">
      <c r="A123" s="300" t="s">
        <v>408</v>
      </c>
      <c r="C123" s="391">
        <f>C120+C122</f>
        <v>959039.78</v>
      </c>
    </row>
    <row r="125" spans="1:5" ht="12.75">
      <c r="A125" s="384" t="s">
        <v>409</v>
      </c>
      <c r="C125" s="334" t="s">
        <v>332</v>
      </c>
      <c r="D125" s="334" t="s">
        <v>333</v>
      </c>
      <c r="E125" s="385" t="s">
        <v>334</v>
      </c>
    </row>
    <row r="126" spans="1:5" ht="12.75">
      <c r="A126" s="300" t="s">
        <v>367</v>
      </c>
      <c r="C126" s="375">
        <f>B9</f>
        <v>0</v>
      </c>
      <c r="D126" s="375">
        <f>SUM(C9+B45+B79)</f>
        <v>158</v>
      </c>
      <c r="E126" s="375">
        <f>SUM(D9+C45+C79)</f>
        <v>0</v>
      </c>
    </row>
    <row r="127" spans="1:5" ht="12.75">
      <c r="A127" s="300" t="s">
        <v>410</v>
      </c>
      <c r="C127" s="497">
        <v>1843.14</v>
      </c>
      <c r="D127" s="497">
        <v>1843.14</v>
      </c>
      <c r="E127" s="497">
        <v>2148.15</v>
      </c>
    </row>
    <row r="128" spans="1:5" ht="12.75">
      <c r="A128" s="300" t="s">
        <v>409</v>
      </c>
      <c r="C128" s="388">
        <f>C127*C126</f>
        <v>0</v>
      </c>
      <c r="D128" s="388">
        <f>D127*D126</f>
        <v>291216.12</v>
      </c>
      <c r="E128" s="388">
        <f>E127*E126</f>
        <v>0</v>
      </c>
    </row>
    <row r="130" spans="1:3" ht="12.75">
      <c r="A130" s="300" t="s">
        <v>411</v>
      </c>
      <c r="C130" s="391">
        <f>C128+D128+E128</f>
        <v>291216.12</v>
      </c>
    </row>
    <row r="132" ht="12.75">
      <c r="A132" s="381" t="s">
        <v>412</v>
      </c>
    </row>
    <row r="133" spans="1:3" ht="12.75">
      <c r="A133" s="300" t="s">
        <v>408</v>
      </c>
      <c r="C133" s="388">
        <f>C123</f>
        <v>959039.78</v>
      </c>
    </row>
    <row r="134" spans="1:3" ht="12.75">
      <c r="A134" s="300" t="s">
        <v>411</v>
      </c>
      <c r="C134" s="390">
        <f>C130</f>
        <v>291216.12</v>
      </c>
    </row>
    <row r="135" spans="1:4" ht="12.75">
      <c r="A135" s="316" t="s">
        <v>413</v>
      </c>
      <c r="C135" s="391">
        <f>C133+C134</f>
        <v>1250255.9</v>
      </c>
      <c r="D135" s="300" t="s">
        <v>532</v>
      </c>
    </row>
    <row r="136" spans="4:6" ht="12.75">
      <c r="D136" s="333" t="s">
        <v>533</v>
      </c>
      <c r="E136" s="525" t="s">
        <v>529</v>
      </c>
      <c r="F136" s="389" t="s">
        <v>531</v>
      </c>
    </row>
    <row r="167" ht="30.75" customHeight="1"/>
    <row r="190" spans="1:10" ht="12.75">
      <c r="A190" s="316"/>
      <c r="B190" s="333"/>
      <c r="C190" s="386"/>
      <c r="D190" s="386"/>
      <c r="F190" s="333"/>
      <c r="G190" s="386"/>
      <c r="H190" s="386"/>
      <c r="I190" s="333"/>
      <c r="J190" s="387"/>
    </row>
  </sheetData>
  <sheetProtection sheet="1" formatCells="0" formatColumns="0" formatRows="0"/>
  <mergeCells count="15">
    <mergeCell ref="B1:C1"/>
    <mergeCell ref="A3:J3"/>
    <mergeCell ref="I1:J1"/>
    <mergeCell ref="E1:G1"/>
    <mergeCell ref="A4:J4"/>
    <mergeCell ref="A5:J5"/>
    <mergeCell ref="A107:J107"/>
    <mergeCell ref="A108:J108"/>
    <mergeCell ref="A109:J109"/>
    <mergeCell ref="A39:J39"/>
    <mergeCell ref="A40:J40"/>
    <mergeCell ref="A41:J41"/>
    <mergeCell ref="A73:J73"/>
    <mergeCell ref="A74:J74"/>
    <mergeCell ref="A75:J75"/>
  </mergeCells>
  <hyperlinks>
    <hyperlink ref="E136" location="Calculations!N117" display="Calculations"/>
  </hyperlinks>
  <printOptions/>
  <pageMargins left="0.7" right="0.7" top="0.75" bottom="0.75" header="0.3" footer="0.3"/>
  <pageSetup horizontalDpi="600" verticalDpi="600" orientation="landscape" scale="71" r:id="rId1"/>
  <headerFooter>
    <oddFooter>&amp;L&amp;"Arial,Bold"Rev. 5/19 Arizona Department of Education and Auditor General&amp;R&amp;"Arial,Bold"CHAR55</oddFooter>
  </headerFooter>
  <rowBreaks count="5" manualBreakCount="5">
    <brk id="38" max="255" man="1"/>
    <brk id="72" max="9" man="1"/>
    <brk id="106" max="9" man="1"/>
    <brk id="138" max="10" man="1"/>
    <brk id="164" max="10" man="1"/>
  </rowBreaks>
</worksheet>
</file>

<file path=xl/worksheets/sheet11.xml><?xml version="1.0" encoding="utf-8"?>
<worksheet xmlns="http://schemas.openxmlformats.org/spreadsheetml/2006/main" xmlns:r="http://schemas.openxmlformats.org/officeDocument/2006/relationships">
  <dimension ref="A1:F28"/>
  <sheetViews>
    <sheetView showGridLines="0" zoomScalePageLayoutView="0" workbookViewId="0" topLeftCell="A1">
      <pane ySplit="1" topLeftCell="A18" activePane="bottomLeft" state="frozen"/>
      <selection pane="topLeft" activeCell="A1" sqref="A1"/>
      <selection pane="bottomLeft" activeCell="C24" sqref="C24"/>
    </sheetView>
  </sheetViews>
  <sheetFormatPr defaultColWidth="9.140625" defaultRowHeight="12.75"/>
  <cols>
    <col min="1" max="1" width="13.00390625" style="190" customWidth="1"/>
    <col min="2" max="2" width="23.28125" style="192" customWidth="1"/>
    <col min="3" max="3" width="88.7109375" style="191" customWidth="1"/>
    <col min="4" max="4" width="8.8515625" style="191" customWidth="1"/>
  </cols>
  <sheetData>
    <row r="1" spans="1:4" ht="21.75" customHeight="1">
      <c r="A1" s="189" t="s">
        <v>219</v>
      </c>
      <c r="B1" s="189" t="s">
        <v>220</v>
      </c>
      <c r="C1" s="195" t="s">
        <v>235</v>
      </c>
      <c r="D1" s="189"/>
    </row>
    <row r="2" spans="1:6" ht="234" customHeight="1">
      <c r="A2" s="208" t="s">
        <v>222</v>
      </c>
      <c r="B2" s="196" t="s">
        <v>221</v>
      </c>
      <c r="C2" s="226" t="s">
        <v>512</v>
      </c>
      <c r="F2" s="191"/>
    </row>
    <row r="3" spans="1:3" ht="44.25" customHeight="1">
      <c r="A3" s="208" t="s">
        <v>222</v>
      </c>
      <c r="B3" s="196" t="s">
        <v>190</v>
      </c>
      <c r="C3" s="226" t="s">
        <v>246</v>
      </c>
    </row>
    <row r="4" spans="1:3" ht="97.5" customHeight="1">
      <c r="A4" s="208" t="s">
        <v>222</v>
      </c>
      <c r="B4" s="196" t="s">
        <v>79</v>
      </c>
      <c r="C4" s="226" t="s">
        <v>256</v>
      </c>
    </row>
    <row r="5" spans="1:3" ht="37.5" customHeight="1">
      <c r="A5" s="208" t="s">
        <v>222</v>
      </c>
      <c r="B5" s="196" t="s">
        <v>238</v>
      </c>
      <c r="C5" s="226" t="s">
        <v>513</v>
      </c>
    </row>
    <row r="6" spans="1:3" ht="122.25" customHeight="1">
      <c r="A6" s="208" t="s">
        <v>222</v>
      </c>
      <c r="B6" s="196" t="s">
        <v>326</v>
      </c>
      <c r="C6" s="226" t="s">
        <v>514</v>
      </c>
    </row>
    <row r="7" spans="1:3" ht="31.5" customHeight="1">
      <c r="A7" s="269" t="s">
        <v>324</v>
      </c>
      <c r="B7" s="196" t="s">
        <v>324</v>
      </c>
      <c r="C7" s="226" t="s">
        <v>325</v>
      </c>
    </row>
    <row r="8" spans="1:3" ht="50.25" customHeight="1">
      <c r="A8" s="208">
        <v>1</v>
      </c>
      <c r="B8" s="196" t="s">
        <v>221</v>
      </c>
      <c r="C8" s="226" t="s">
        <v>515</v>
      </c>
    </row>
    <row r="9" spans="1:3" ht="66" customHeight="1">
      <c r="A9" s="208">
        <v>1</v>
      </c>
      <c r="B9" s="196" t="s">
        <v>266</v>
      </c>
      <c r="C9" s="226" t="s">
        <v>267</v>
      </c>
    </row>
    <row r="10" spans="1:3" ht="60.75" customHeight="1">
      <c r="A10" s="208">
        <v>1</v>
      </c>
      <c r="B10" s="196" t="s">
        <v>234</v>
      </c>
      <c r="C10" s="226" t="s">
        <v>283</v>
      </c>
    </row>
    <row r="11" spans="1:3" ht="17.25" customHeight="1">
      <c r="A11" s="208"/>
      <c r="B11" s="196"/>
      <c r="C11" s="255" t="s">
        <v>284</v>
      </c>
    </row>
    <row r="12" spans="1:3" ht="49.5" customHeight="1">
      <c r="A12" s="208">
        <v>1</v>
      </c>
      <c r="B12" s="196" t="s">
        <v>268</v>
      </c>
      <c r="C12" s="226" t="s">
        <v>269</v>
      </c>
    </row>
    <row r="13" spans="1:3" ht="55.5" customHeight="1">
      <c r="A13" s="208">
        <v>1</v>
      </c>
      <c r="B13" s="196" t="s">
        <v>233</v>
      </c>
      <c r="C13" s="496" t="s">
        <v>516</v>
      </c>
    </row>
    <row r="14" spans="1:3" ht="91.5" customHeight="1">
      <c r="A14" s="208">
        <v>2</v>
      </c>
      <c r="B14" s="196" t="s">
        <v>239</v>
      </c>
      <c r="C14" s="226" t="s">
        <v>273</v>
      </c>
    </row>
    <row r="15" spans="1:3" ht="133.5" customHeight="1">
      <c r="A15" s="208">
        <v>2</v>
      </c>
      <c r="B15" s="196" t="s">
        <v>276</v>
      </c>
      <c r="C15" s="226" t="s">
        <v>522</v>
      </c>
    </row>
    <row r="16" spans="1:3" ht="102" customHeight="1">
      <c r="A16" s="208">
        <v>2</v>
      </c>
      <c r="B16" s="196" t="s">
        <v>277</v>
      </c>
      <c r="C16" s="226" t="s">
        <v>528</v>
      </c>
    </row>
    <row r="17" spans="1:3" ht="102" customHeight="1">
      <c r="A17" s="208">
        <v>2</v>
      </c>
      <c r="B17" s="196" t="s">
        <v>209</v>
      </c>
      <c r="C17" s="226" t="s">
        <v>237</v>
      </c>
    </row>
    <row r="18" spans="1:3" ht="66" customHeight="1">
      <c r="A18" s="208">
        <v>2</v>
      </c>
      <c r="B18" s="196" t="s">
        <v>224</v>
      </c>
      <c r="C18" s="226" t="s">
        <v>270</v>
      </c>
    </row>
    <row r="19" spans="1:3" ht="49.5" customHeight="1">
      <c r="A19" s="208">
        <v>2</v>
      </c>
      <c r="B19" s="196" t="s">
        <v>264</v>
      </c>
      <c r="C19" s="226" t="s">
        <v>263</v>
      </c>
    </row>
    <row r="20" spans="1:3" ht="56.25" customHeight="1">
      <c r="A20" s="208">
        <v>2</v>
      </c>
      <c r="B20" s="196" t="s">
        <v>260</v>
      </c>
      <c r="C20" s="226" t="s">
        <v>244</v>
      </c>
    </row>
    <row r="21" spans="1:3" ht="75" customHeight="1">
      <c r="A21" s="208">
        <v>2</v>
      </c>
      <c r="B21" s="196" t="s">
        <v>225</v>
      </c>
      <c r="C21" s="226" t="s">
        <v>271</v>
      </c>
    </row>
    <row r="22" spans="1:3" ht="116.25" customHeight="1">
      <c r="A22" s="208">
        <v>2</v>
      </c>
      <c r="B22" s="196" t="s">
        <v>223</v>
      </c>
      <c r="C22" s="226" t="s">
        <v>517</v>
      </c>
    </row>
    <row r="23" spans="1:3" ht="59.25" customHeight="1">
      <c r="A23" s="208">
        <v>2</v>
      </c>
      <c r="B23" s="196" t="s">
        <v>227</v>
      </c>
      <c r="C23" s="226" t="s">
        <v>226</v>
      </c>
    </row>
    <row r="24" spans="1:3" ht="48" customHeight="1">
      <c r="A24" s="208">
        <v>2</v>
      </c>
      <c r="B24" s="196" t="s">
        <v>232</v>
      </c>
      <c r="C24" s="226" t="s">
        <v>236</v>
      </c>
    </row>
    <row r="25" spans="1:3" ht="124.5" customHeight="1">
      <c r="A25" s="208">
        <v>3</v>
      </c>
      <c r="B25" s="196" t="s">
        <v>229</v>
      </c>
      <c r="C25" s="496" t="s">
        <v>521</v>
      </c>
    </row>
    <row r="26" spans="1:3" ht="63.75" customHeight="1">
      <c r="A26" s="208">
        <v>4</v>
      </c>
      <c r="B26" s="196" t="s">
        <v>518</v>
      </c>
      <c r="C26" s="496" t="s">
        <v>519</v>
      </c>
    </row>
    <row r="27" spans="1:3" ht="66" customHeight="1">
      <c r="A27" s="208">
        <v>4</v>
      </c>
      <c r="B27" s="196" t="s">
        <v>228</v>
      </c>
      <c r="C27" s="496" t="s">
        <v>520</v>
      </c>
    </row>
    <row r="28" spans="1:3" ht="45" customHeight="1">
      <c r="A28" s="221" t="s">
        <v>240</v>
      </c>
      <c r="B28" s="196" t="s">
        <v>221</v>
      </c>
      <c r="C28" s="226" t="s">
        <v>241</v>
      </c>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scale="97" r:id="rId2"/>
  <headerFooter scaleWithDoc="0">
    <oddFooter>&amp;L&amp;"Arial,Bold"Rev. 5/19 Arizona Department of Education and Auditor General&amp;R&amp;"Arial,Bold"Instructions</oddFooter>
  </headerFooter>
</worksheet>
</file>

<file path=xl/worksheets/sheet2.xml><?xml version="1.0" encoding="utf-8"?>
<worksheet xmlns="http://schemas.openxmlformats.org/spreadsheetml/2006/main" xmlns:r="http://schemas.openxmlformats.org/officeDocument/2006/relationships">
  <dimension ref="A1:Z45"/>
  <sheetViews>
    <sheetView showGridLines="0" workbookViewId="0" topLeftCell="A1">
      <selection activeCell="C7" sqref="C7"/>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7109375" style="0" customWidth="1"/>
    <col min="8" max="8" width="17.57421875" style="0" customWidth="1"/>
    <col min="26" max="26" width="9.140625" style="263" customWidth="1"/>
  </cols>
  <sheetData>
    <row r="1" spans="1:8" ht="12.75">
      <c r="A1" t="s">
        <v>0</v>
      </c>
      <c r="B1" s="579" t="str">
        <f>Cover!D1</f>
        <v>Scottsdale Country Day School</v>
      </c>
      <c r="C1" s="579"/>
      <c r="E1" s="265" t="s">
        <v>310</v>
      </c>
      <c r="F1" s="264" t="str">
        <f>Cover!M1</f>
        <v>Maricopa</v>
      </c>
      <c r="G1" s="265" t="s">
        <v>311</v>
      </c>
      <c r="H1" s="277" t="str">
        <f>[0]!CTD</f>
        <v>078243000</v>
      </c>
    </row>
    <row r="2" spans="2:8" ht="12.75">
      <c r="B2" s="268"/>
      <c r="C2" s="268"/>
      <c r="E2" s="265"/>
      <c r="F2" s="266"/>
      <c r="G2" s="265"/>
      <c r="H2" s="43"/>
    </row>
    <row r="3" spans="2:8" ht="12.75">
      <c r="B3" s="268"/>
      <c r="C3" s="268"/>
      <c r="E3" s="265"/>
      <c r="F3" s="266"/>
      <c r="G3" s="265"/>
      <c r="H3" s="43"/>
    </row>
    <row r="4" spans="2:8" ht="12.75">
      <c r="B4" s="268"/>
      <c r="C4" s="580" t="s">
        <v>322</v>
      </c>
      <c r="D4" s="580"/>
      <c r="E4" s="580"/>
      <c r="F4" s="580"/>
      <c r="G4" s="580"/>
      <c r="H4" s="580"/>
    </row>
    <row r="5" ht="12.75">
      <c r="Z5" s="263" t="s">
        <v>308</v>
      </c>
    </row>
    <row r="6" spans="3:26" ht="12.75">
      <c r="C6" s="275" t="s">
        <v>291</v>
      </c>
      <c r="D6" s="275" t="s">
        <v>292</v>
      </c>
      <c r="E6" s="275" t="s">
        <v>293</v>
      </c>
      <c r="F6" s="275" t="s">
        <v>294</v>
      </c>
      <c r="G6" s="275" t="s">
        <v>329</v>
      </c>
      <c r="H6" s="275" t="s">
        <v>295</v>
      </c>
      <c r="Z6" s="263" t="s">
        <v>297</v>
      </c>
    </row>
    <row r="7" spans="1:26" ht="12.75">
      <c r="A7" s="576" t="s">
        <v>287</v>
      </c>
      <c r="B7" s="577"/>
      <c r="C7" s="267"/>
      <c r="D7" s="267" t="s">
        <v>538</v>
      </c>
      <c r="E7" s="267" t="s">
        <v>539</v>
      </c>
      <c r="F7" s="267"/>
      <c r="G7" s="526" t="s">
        <v>540</v>
      </c>
      <c r="H7" s="274">
        <v>4804525777</v>
      </c>
      <c r="Z7" s="263" t="s">
        <v>296</v>
      </c>
    </row>
    <row r="8" spans="1:26" ht="12.75">
      <c r="A8" s="576" t="s">
        <v>287</v>
      </c>
      <c r="B8" s="577"/>
      <c r="C8" s="267"/>
      <c r="D8" s="267" t="s">
        <v>541</v>
      </c>
      <c r="E8" s="267" t="s">
        <v>539</v>
      </c>
      <c r="F8" s="267"/>
      <c r="G8" s="526" t="s">
        <v>542</v>
      </c>
      <c r="H8" s="274">
        <v>4804525777</v>
      </c>
      <c r="Z8" s="263" t="s">
        <v>298</v>
      </c>
    </row>
    <row r="9" spans="1:26" ht="12.75">
      <c r="A9" s="576" t="s">
        <v>288</v>
      </c>
      <c r="B9" s="577"/>
      <c r="C9" s="267"/>
      <c r="D9" s="267"/>
      <c r="E9" s="267"/>
      <c r="F9" s="267"/>
      <c r="G9" s="526"/>
      <c r="H9" s="274"/>
      <c r="Z9" s="270" t="s">
        <v>299</v>
      </c>
    </row>
    <row r="10" spans="1:8" ht="12.75">
      <c r="A10" s="576" t="s">
        <v>286</v>
      </c>
      <c r="B10" s="577"/>
      <c r="C10" s="267"/>
      <c r="D10" s="267" t="s">
        <v>543</v>
      </c>
      <c r="E10" s="267" t="s">
        <v>544</v>
      </c>
      <c r="F10" s="267"/>
      <c r="G10" s="526" t="s">
        <v>545</v>
      </c>
      <c r="H10" s="274">
        <v>4809407538</v>
      </c>
    </row>
    <row r="11" spans="1:26" ht="12.75">
      <c r="A11" s="576" t="s">
        <v>285</v>
      </c>
      <c r="B11" s="577"/>
      <c r="C11" s="267"/>
      <c r="D11" s="267" t="s">
        <v>546</v>
      </c>
      <c r="E11" s="267" t="s">
        <v>539</v>
      </c>
      <c r="F11" s="267"/>
      <c r="G11" s="526" t="s">
        <v>540</v>
      </c>
      <c r="H11" s="274">
        <v>4804525777</v>
      </c>
      <c r="W11" s="85"/>
      <c r="Z11" s="263" t="s">
        <v>309</v>
      </c>
    </row>
    <row r="12" spans="1:26" ht="12.75">
      <c r="A12" s="576" t="s">
        <v>290</v>
      </c>
      <c r="B12" s="577"/>
      <c r="C12" s="267"/>
      <c r="D12" s="267" t="s">
        <v>546</v>
      </c>
      <c r="E12" s="267" t="s">
        <v>539</v>
      </c>
      <c r="F12" s="267"/>
      <c r="G12" s="526" t="s">
        <v>540</v>
      </c>
      <c r="H12" s="274">
        <v>4804525777</v>
      </c>
      <c r="W12" s="85"/>
      <c r="Z12" s="263" t="s">
        <v>304</v>
      </c>
    </row>
    <row r="13" spans="1:26" ht="12.75">
      <c r="A13" s="576" t="s">
        <v>289</v>
      </c>
      <c r="B13" s="577"/>
      <c r="C13" s="267"/>
      <c r="D13" s="267" t="s">
        <v>546</v>
      </c>
      <c r="E13" s="267" t="s">
        <v>539</v>
      </c>
      <c r="F13" s="267"/>
      <c r="G13" s="526" t="s">
        <v>540</v>
      </c>
      <c r="H13" s="274">
        <v>4804525777</v>
      </c>
      <c r="W13" s="85"/>
      <c r="Z13" s="263" t="s">
        <v>306</v>
      </c>
    </row>
    <row r="14" spans="1:26" ht="12.75">
      <c r="A14" s="576" t="s">
        <v>289</v>
      </c>
      <c r="B14" s="577"/>
      <c r="C14" s="267"/>
      <c r="D14" s="267" t="s">
        <v>541</v>
      </c>
      <c r="E14" s="267" t="s">
        <v>539</v>
      </c>
      <c r="F14" s="267"/>
      <c r="G14" s="526" t="s">
        <v>542</v>
      </c>
      <c r="H14" s="274">
        <v>4804525777</v>
      </c>
      <c r="W14" s="85"/>
      <c r="Z14" s="263" t="s">
        <v>300</v>
      </c>
    </row>
    <row r="15" spans="1:26" ht="12.75">
      <c r="A15" s="576" t="s">
        <v>289</v>
      </c>
      <c r="B15" s="577"/>
      <c r="C15" s="267"/>
      <c r="D15" s="267" t="s">
        <v>547</v>
      </c>
      <c r="E15" s="267" t="s">
        <v>548</v>
      </c>
      <c r="F15" s="267"/>
      <c r="G15" s="526"/>
      <c r="H15" s="274">
        <v>4804525777</v>
      </c>
      <c r="W15" s="85"/>
      <c r="Z15" s="263" t="s">
        <v>305</v>
      </c>
    </row>
    <row r="16" spans="1:26" ht="12.75">
      <c r="A16" s="576" t="s">
        <v>289</v>
      </c>
      <c r="B16" s="577"/>
      <c r="C16" s="267"/>
      <c r="D16" s="267" t="s">
        <v>549</v>
      </c>
      <c r="E16" s="267" t="s">
        <v>550</v>
      </c>
      <c r="F16" s="267"/>
      <c r="G16" s="526"/>
      <c r="H16" s="274">
        <v>4804525777</v>
      </c>
      <c r="W16" s="85"/>
      <c r="Z16" s="263" t="s">
        <v>307</v>
      </c>
    </row>
    <row r="17" spans="1:26" ht="12.75">
      <c r="A17" s="576" t="s">
        <v>289</v>
      </c>
      <c r="B17" s="577"/>
      <c r="C17" s="267"/>
      <c r="D17" s="267"/>
      <c r="E17" s="267"/>
      <c r="F17" s="267"/>
      <c r="G17" s="526"/>
      <c r="H17" s="274"/>
      <c r="W17" s="85"/>
      <c r="Z17" s="263" t="s">
        <v>301</v>
      </c>
    </row>
    <row r="18" spans="1:26" ht="12.75">
      <c r="A18" s="576" t="s">
        <v>289</v>
      </c>
      <c r="B18" s="577"/>
      <c r="C18" s="267"/>
      <c r="D18" s="267"/>
      <c r="E18" s="267"/>
      <c r="F18" s="267"/>
      <c r="G18" s="526"/>
      <c r="H18" s="274"/>
      <c r="W18" s="85"/>
      <c r="Z18" s="263" t="s">
        <v>302</v>
      </c>
    </row>
    <row r="19" spans="1:26" ht="12.75">
      <c r="A19" s="576" t="s">
        <v>289</v>
      </c>
      <c r="B19" s="577"/>
      <c r="C19" s="267"/>
      <c r="D19" s="267"/>
      <c r="E19" s="267"/>
      <c r="F19" s="267"/>
      <c r="G19" s="276"/>
      <c r="H19" s="274"/>
      <c r="W19" s="85"/>
      <c r="Z19" s="263" t="s">
        <v>303</v>
      </c>
    </row>
    <row r="20" spans="1:23" ht="12.75">
      <c r="A20" s="576" t="s">
        <v>289</v>
      </c>
      <c r="B20" s="577"/>
      <c r="C20" s="267"/>
      <c r="D20" s="267"/>
      <c r="E20" s="267"/>
      <c r="F20" s="267"/>
      <c r="G20" s="276"/>
      <c r="H20" s="274"/>
      <c r="W20" s="85"/>
    </row>
    <row r="21" spans="1:23" ht="12.75">
      <c r="A21" s="576" t="s">
        <v>289</v>
      </c>
      <c r="B21" s="577"/>
      <c r="C21" s="267"/>
      <c r="D21" s="267"/>
      <c r="E21" s="267"/>
      <c r="F21" s="267"/>
      <c r="G21" s="276"/>
      <c r="H21" s="274"/>
      <c r="W21" s="85"/>
    </row>
    <row r="22" spans="1:26" ht="12.75">
      <c r="A22" s="85"/>
      <c r="B22" s="85"/>
      <c r="W22" s="85"/>
      <c r="Z22" s="270" t="s">
        <v>312</v>
      </c>
    </row>
    <row r="23" spans="1:26" ht="12.75">
      <c r="A23" s="85"/>
      <c r="B23" s="85"/>
      <c r="C23" s="578" t="s">
        <v>459</v>
      </c>
      <c r="D23" s="578"/>
      <c r="Z23" s="270" t="s">
        <v>313</v>
      </c>
    </row>
    <row r="24" spans="1:26" ht="12.75">
      <c r="A24" s="576" t="s">
        <v>323</v>
      </c>
      <c r="B24" s="577"/>
      <c r="C24" s="584" t="s">
        <v>315</v>
      </c>
      <c r="D24" s="585"/>
      <c r="Z24" s="270" t="s">
        <v>314</v>
      </c>
    </row>
    <row r="25" spans="1:26" ht="12.75">
      <c r="A25" s="85"/>
      <c r="B25" s="85"/>
      <c r="Z25" s="270" t="s">
        <v>315</v>
      </c>
    </row>
    <row r="26" spans="1:26" ht="12.75">
      <c r="A26" s="535" t="s">
        <v>458</v>
      </c>
      <c r="B26" s="583"/>
      <c r="C26" s="581" t="s">
        <v>551</v>
      </c>
      <c r="D26" s="582"/>
      <c r="Z26" s="270" t="s">
        <v>316</v>
      </c>
    </row>
    <row r="27" ht="12.75">
      <c r="Z27" s="270" t="s">
        <v>317</v>
      </c>
    </row>
    <row r="28" ht="12.75">
      <c r="Z28" s="270" t="s">
        <v>318</v>
      </c>
    </row>
    <row r="29" ht="12.75">
      <c r="Z29" s="270" t="s">
        <v>319</v>
      </c>
    </row>
    <row r="30" spans="1:26" ht="15">
      <c r="A30" s="262"/>
      <c r="B30" s="262"/>
      <c r="Z30" s="270" t="s">
        <v>320</v>
      </c>
    </row>
    <row r="31" spans="1:26" ht="12.75">
      <c r="A31" s="85"/>
      <c r="B31" s="85"/>
      <c r="Z31" s="270" t="s">
        <v>321</v>
      </c>
    </row>
    <row r="32" spans="1:26" ht="12.75">
      <c r="A32" s="85"/>
      <c r="B32" s="85"/>
      <c r="Z32" s="270"/>
    </row>
    <row r="33" spans="1:2" ht="12.75">
      <c r="A33" s="85"/>
      <c r="B33" s="85"/>
    </row>
    <row r="34" spans="1:3" ht="15">
      <c r="A34" s="575"/>
      <c r="B34" s="575"/>
      <c r="C34" s="85"/>
    </row>
    <row r="35" spans="2:3" ht="12.75">
      <c r="B35" s="85"/>
      <c r="C35" s="85"/>
    </row>
    <row r="36" spans="2:3" ht="12.75">
      <c r="B36" s="85"/>
      <c r="C36" s="85"/>
    </row>
    <row r="37" spans="1:3" ht="15">
      <c r="A37" s="262"/>
      <c r="B37" s="262"/>
      <c r="C37" s="85"/>
    </row>
    <row r="38" spans="1:3" ht="12.75">
      <c r="A38" s="85"/>
      <c r="B38" s="85"/>
      <c r="C38" s="85"/>
    </row>
    <row r="39" spans="1:3" ht="15">
      <c r="A39" s="85"/>
      <c r="B39" s="262"/>
      <c r="C39" s="85"/>
    </row>
    <row r="40" spans="1:3" ht="12.75">
      <c r="A40" s="85"/>
      <c r="B40" s="85"/>
      <c r="C40" s="85"/>
    </row>
    <row r="41" spans="1:3" ht="12.75">
      <c r="A41" s="85"/>
      <c r="B41" s="85"/>
      <c r="C41" s="85"/>
    </row>
    <row r="42" spans="1:3" ht="12.75">
      <c r="A42" s="85"/>
      <c r="B42" s="85"/>
      <c r="C42" s="85"/>
    </row>
    <row r="43" spans="1:2" ht="12.75">
      <c r="A43" s="85"/>
      <c r="B43" s="85"/>
    </row>
    <row r="44" spans="1:2" ht="12.75">
      <c r="A44" s="85"/>
      <c r="B44" s="85"/>
    </row>
    <row r="45" spans="1:2" ht="15">
      <c r="A45" s="85"/>
      <c r="B45" s="262"/>
    </row>
  </sheetData>
  <sheetProtection sheet="1"/>
  <mergeCells count="23">
    <mergeCell ref="B1:C1"/>
    <mergeCell ref="C4:H4"/>
    <mergeCell ref="A9:B9"/>
    <mergeCell ref="C26:D26"/>
    <mergeCell ref="A26:B26"/>
    <mergeCell ref="C24:D24"/>
    <mergeCell ref="A20:B20"/>
    <mergeCell ref="A21:B21"/>
    <mergeCell ref="A7:B7"/>
    <mergeCell ref="A8:B8"/>
    <mergeCell ref="C23:D23"/>
    <mergeCell ref="A13:B13"/>
    <mergeCell ref="A14:B14"/>
    <mergeCell ref="A12:B12"/>
    <mergeCell ref="A10:B10"/>
    <mergeCell ref="A11:B11"/>
    <mergeCell ref="A34:B34"/>
    <mergeCell ref="A24:B24"/>
    <mergeCell ref="A15:B15"/>
    <mergeCell ref="A16:B16"/>
    <mergeCell ref="A17:B17"/>
    <mergeCell ref="A18:B18"/>
    <mergeCell ref="A19:B19"/>
  </mergeCells>
  <dataValidations count="18">
    <dataValidation type="list" allowBlank="1" sqref="C7:C21">
      <formula1>$Z$5:$Z$9</formula1>
    </dataValidation>
    <dataValidation type="list" allowBlank="1" sqref="F8:F21">
      <formula1>$Z$11:$Z$23</formula1>
    </dataValidation>
    <dataValidation type="list" allowBlank="1" sqref="F7">
      <formula1>$Z$11:$Z$19</formula1>
    </dataValidation>
    <dataValidation type="list" showInputMessage="1" showErrorMessage="1" error="Please select a vendor from the drop down list." sqref="C24:D24">
      <formula1>$Z$22:$Z$31</formula1>
    </dataValidation>
    <dataValidation type="custom" allowBlank="1" showInputMessage="1" showErrorMessage="1" promptTitle="Email Address" prompt="Please enter a valid email address. " errorTitle="Email Address" error="Please enter a valid email address " sqref="G21">
      <formula1>ISNUMBER(MATCH("*@*",G21,0))</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1">
      <formula1>AND(ISNUMBER(H7),LEN(H7)=10)</formula1>
    </dataValidation>
    <dataValidation type="custom" allowBlank="1" showInputMessage="1" showErrorMessage="1" promptTitle="Email Address" prompt="Please enter a valid email address. " errorTitle="Email Address" error="Please enter a valid email address " sqref="G17">
      <formula1>ISNUMBER(MATCH("*@*",G17,0))</formula1>
    </dataValidation>
    <dataValidation type="custom" allowBlank="1" showInputMessage="1" showErrorMessage="1" promptTitle="Email Address" prompt="Please enter a valid email address. " errorTitle="Email Address" error="Please enter a valid email address" sqref="G20">
      <formula1>ISNUMBER(MATCH("*@*",G20,0))</formula1>
    </dataValidation>
    <dataValidation type="custom" allowBlank="1" showInputMessage="1" showErrorMessage="1" promptTitle="Email Address" prompt="Please enter a valid email address. " errorTitle="Email Address" error="Please enter a valid email address " sqref="G19">
      <formula1>ISNUMBER(MATCH("*@*",G19,0))</formula1>
    </dataValidation>
    <dataValidation type="custom" allowBlank="1" showInputMessage="1" showErrorMessage="1" promptTitle="Email Address" prompt="Please enter a valid email address." errorTitle="Email Address" error="Please enter a valid email address &#10;" sqref="G12">
      <formula1>ISNUMBER(MATCH("*@*",G12,0))</formula1>
    </dataValidation>
    <dataValidation type="custom" allowBlank="1" showInputMessage="1" showErrorMessage="1" promptTitle="Email Address" prompt="Please enter a valid email address. " errorTitle="Email Address" error="Please enter a valid email address " sqref="G18">
      <formula1>ISNUMBER(MATCH("*@*",G18,0))</formula1>
    </dataValidation>
    <dataValidation allowBlank="1" showInputMessage="1" showErrorMessage="1" promptTitle="Charter's home page web address" prompt="Please include www. when entering the web address of the charter's home page." sqref="C26:D26"/>
    <dataValidation type="custom" allowBlank="1" showInputMessage="1" showErrorMessage="1" promptTitle="Email Address" prompt="Please enter a valid email address." errorTitle="Email Address" error="Please enter a valid email address " sqref="G16">
      <formula1>ISNUMBER(MATCH("*@*",G16,0))</formula1>
    </dataValidation>
    <dataValidation type="custom" allowBlank="1" showInputMessage="1" showErrorMessage="1" promptTitle="Email Address" prompt="Please enter a valid email address. " errorTitle="Email Address" error="Please enter a valid email address " sqref="G15">
      <formula1>ISNUMBER(MATCH("*@*",G15,0))</formula1>
    </dataValidation>
    <dataValidation type="custom" allowBlank="1" showInputMessage="1" showErrorMessage="1" promptTitle="Email Address" prompt="Please enter a valid email address." errorTitle="Email Address" error="Please enter a valid email address" sqref="G14">
      <formula1>ISNUMBER(MATCH("*@*",G14,0))</formula1>
    </dataValidation>
    <dataValidation type="custom" allowBlank="1" showInputMessage="1" showErrorMessage="1" promptTitle="Email Address" prompt="Please enter a valid email address." errorTitle="Email Address" error="Please enter a valid email address " sqref="G7 G13">
      <formula1>ISNUMBER(MATCH("*@*",G7,0))</formula1>
    </dataValidation>
    <dataValidation type="custom" allowBlank="1" showInputMessage="1" showErrorMessage="1" promptTitle="Email Address" prompt="Please enter a valid email address. " errorTitle="Email Address" error="Please enter a valid email address " sqref="G8 G9 G10">
      <formula1>ISNUMBER(MATCH("*@*",G8,0))</formula1>
    </dataValidation>
    <dataValidation type="custom" allowBlank="1" showInputMessage="1" showErrorMessage="1" promptTitle="Email Address" prompt="Please enter a valid email address." errorTitle="Email Address" error="Please enter a valid email address" sqref="G11">
      <formula1>ISNUMBER(MATCH("*@*",G11,0))</formula1>
    </dataValidation>
  </dataValidations>
  <hyperlinks>
    <hyperlink ref="C4:H4" location="CharterContactInfo" display="CHARTER CONTACT INFORMATION"/>
  </hyperlinks>
  <printOptions/>
  <pageMargins left="0.7" right="0.7" top="0.75" bottom="0.75" header="0.3" footer="0.3"/>
  <pageSetup horizontalDpi="600" verticalDpi="600" orientation="landscape" paperSize="5" scale="73" r:id="rId2"/>
  <headerFooter>
    <oddFooter>&amp;L&amp;"Arial,Bold"Rev. 5/19 Arizona Department of Education and Auditor General&amp;R&amp;"Arial,Bold"Charter Contact Info</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workbookViewId="0" topLeftCell="A1">
      <selection activeCell="J15" sqref="J15"/>
    </sheetView>
  </sheetViews>
  <sheetFormatPr defaultColWidth="9.140625" defaultRowHeight="12.75" customHeight="1"/>
  <cols>
    <col min="1" max="1" width="1.57421875" style="12" customWidth="1"/>
    <col min="2" max="2" width="1.7109375" style="12" customWidth="1"/>
    <col min="3" max="3" width="14.7109375" style="12" customWidth="1"/>
    <col min="4" max="4" width="32.8515625" style="12" customWidth="1"/>
    <col min="5" max="5" width="3.8515625" style="12" customWidth="1"/>
    <col min="6" max="13" width="12.7109375" style="12" customWidth="1"/>
    <col min="14" max="14" width="3.8515625" style="13" customWidth="1"/>
    <col min="15" max="16384" width="9.140625" style="12" customWidth="1"/>
  </cols>
  <sheetData>
    <row r="1" spans="1:14" ht="12" customHeight="1">
      <c r="A1" s="12" t="s">
        <v>0</v>
      </c>
      <c r="D1" s="586" t="str">
        <f>Cover!D1</f>
        <v>Scottsdale Country Day School</v>
      </c>
      <c r="E1" s="586"/>
      <c r="F1" s="586"/>
      <c r="H1" s="39" t="s">
        <v>53</v>
      </c>
      <c r="I1" s="587" t="str">
        <f>Cover!M1</f>
        <v>Maricopa</v>
      </c>
      <c r="J1" s="587"/>
      <c r="L1" s="39" t="s">
        <v>89</v>
      </c>
      <c r="M1" s="588" t="str">
        <f>Cover!R1</f>
        <v>078243000</v>
      </c>
      <c r="N1" s="588"/>
    </row>
    <row r="2" spans="1:13" ht="3.75" customHeight="1">
      <c r="A2" s="92"/>
      <c r="B2" s="92"/>
      <c r="C2" s="92"/>
      <c r="D2" s="92"/>
      <c r="E2" s="92"/>
      <c r="F2" s="92"/>
      <c r="G2" s="92"/>
      <c r="H2" s="92"/>
      <c r="I2" s="92"/>
      <c r="J2" s="26"/>
      <c r="K2" s="26"/>
      <c r="L2" s="26"/>
      <c r="M2" s="26"/>
    </row>
    <row r="3" spans="2:14" ht="12" customHeight="1">
      <c r="B3" s="197"/>
      <c r="F3" s="61"/>
      <c r="H3" s="61" t="s">
        <v>14</v>
      </c>
      <c r="I3" s="61"/>
      <c r="J3" s="61"/>
      <c r="K3" s="56" t="s">
        <v>61</v>
      </c>
      <c r="L3" s="57"/>
      <c r="M3" s="73"/>
      <c r="N3" s="93"/>
    </row>
    <row r="4" spans="1:14" ht="12" customHeight="1">
      <c r="A4" s="12" t="s">
        <v>12</v>
      </c>
      <c r="D4" s="589"/>
      <c r="F4" s="62"/>
      <c r="G4" s="209" t="s">
        <v>13</v>
      </c>
      <c r="H4" s="61" t="s">
        <v>17</v>
      </c>
      <c r="J4" s="62"/>
      <c r="K4" s="222" t="s">
        <v>242</v>
      </c>
      <c r="L4" s="61" t="s">
        <v>62</v>
      </c>
      <c r="M4" s="74" t="s">
        <v>63</v>
      </c>
      <c r="N4" s="93"/>
    </row>
    <row r="5" spans="4:14" ht="12" customHeight="1">
      <c r="D5" s="589"/>
      <c r="F5" s="61" t="s">
        <v>15</v>
      </c>
      <c r="G5" s="209" t="s">
        <v>16</v>
      </c>
      <c r="H5" s="61" t="s">
        <v>20</v>
      </c>
      <c r="I5" s="61" t="s">
        <v>18</v>
      </c>
      <c r="J5" s="61" t="s">
        <v>19</v>
      </c>
      <c r="K5" s="61" t="s">
        <v>54</v>
      </c>
      <c r="L5" s="61" t="s">
        <v>54</v>
      </c>
      <c r="M5" s="74" t="s">
        <v>64</v>
      </c>
      <c r="N5" s="93"/>
    </row>
    <row r="6" spans="1:14" ht="12" customHeight="1">
      <c r="A6" s="26" t="s">
        <v>11</v>
      </c>
      <c r="B6" s="26"/>
      <c r="C6" s="26"/>
      <c r="D6" s="26"/>
      <c r="E6" s="26"/>
      <c r="F6" s="64">
        <v>6100</v>
      </c>
      <c r="G6" s="64">
        <v>6200</v>
      </c>
      <c r="H6" s="64">
        <v>6500</v>
      </c>
      <c r="I6" s="64">
        <v>6600</v>
      </c>
      <c r="J6" s="64">
        <v>6800</v>
      </c>
      <c r="K6" s="222">
        <v>2019</v>
      </c>
      <c r="L6" s="516">
        <v>2020</v>
      </c>
      <c r="M6" s="74" t="s">
        <v>65</v>
      </c>
      <c r="N6" s="93"/>
    </row>
    <row r="7" spans="1:13" ht="12" customHeight="1">
      <c r="A7" s="12" t="s">
        <v>21</v>
      </c>
      <c r="F7" s="97"/>
      <c r="G7" s="97"/>
      <c r="H7" s="97"/>
      <c r="I7" s="97"/>
      <c r="J7" s="99"/>
      <c r="K7" s="1"/>
      <c r="L7" s="1"/>
      <c r="M7" s="54"/>
    </row>
    <row r="8" spans="2:14" ht="12" customHeight="1">
      <c r="B8" s="12" t="s">
        <v>22</v>
      </c>
      <c r="E8" s="3">
        <v>1</v>
      </c>
      <c r="F8" s="20">
        <f>425541-15000</f>
        <v>410541</v>
      </c>
      <c r="G8" s="20">
        <f>88427-2930</f>
        <v>85497</v>
      </c>
      <c r="H8" s="20">
        <f>55000+1700</f>
        <v>56700</v>
      </c>
      <c r="I8" s="20">
        <f>21000+10000+5900</f>
        <v>36900</v>
      </c>
      <c r="J8" s="130">
        <v>200</v>
      </c>
      <c r="K8" s="132">
        <f>[1]!SP1000P100F1000</f>
        <v>603683</v>
      </c>
      <c r="L8" s="133">
        <f>SUM(F8:J8)</f>
        <v>589838</v>
      </c>
      <c r="M8" s="126">
        <f>IF(K8=0," ",(L8-K8)/K8)</f>
        <v>-0.023</v>
      </c>
      <c r="N8" s="2">
        <v>1</v>
      </c>
    </row>
    <row r="9" spans="2:14" ht="12" customHeight="1">
      <c r="B9" s="12" t="s">
        <v>23</v>
      </c>
      <c r="E9" s="3"/>
      <c r="F9" s="97"/>
      <c r="G9" s="97"/>
      <c r="H9" s="97"/>
      <c r="I9" s="97"/>
      <c r="J9" s="99"/>
      <c r="K9" s="54"/>
      <c r="L9" s="54"/>
      <c r="M9" s="54"/>
      <c r="N9" s="2"/>
    </row>
    <row r="10" spans="2:14" ht="12" customHeight="1">
      <c r="B10" s="12" t="s">
        <v>129</v>
      </c>
      <c r="E10" s="3">
        <v>2</v>
      </c>
      <c r="F10" s="20">
        <v>41300</v>
      </c>
      <c r="G10" s="20">
        <v>25763</v>
      </c>
      <c r="H10" s="20">
        <v>4950</v>
      </c>
      <c r="I10" s="20">
        <v>710</v>
      </c>
      <c r="J10" s="130"/>
      <c r="K10" s="20">
        <f>[1]!SP1000P100F2100</f>
        <v>63167</v>
      </c>
      <c r="L10" s="6">
        <f>SUM(F10:J10)</f>
        <v>72723</v>
      </c>
      <c r="M10" s="10">
        <f>IF(K10=0," ",(L10-K10)/K10)</f>
        <v>0.151</v>
      </c>
      <c r="N10" s="2">
        <v>2</v>
      </c>
    </row>
    <row r="11" spans="2:14" ht="12" customHeight="1">
      <c r="B11" s="12" t="s">
        <v>147</v>
      </c>
      <c r="E11" s="3">
        <v>3</v>
      </c>
      <c r="F11" s="20">
        <v>49460</v>
      </c>
      <c r="G11" s="20">
        <v>26105</v>
      </c>
      <c r="H11" s="20">
        <v>3200</v>
      </c>
      <c r="I11" s="20">
        <v>500</v>
      </c>
      <c r="J11" s="20"/>
      <c r="K11" s="20">
        <f>[1]!SP1000P100F2200</f>
        <v>71369</v>
      </c>
      <c r="L11" s="6">
        <f aca="true" t="shared" si="0" ref="L11:L23">SUM(F11:J11)</f>
        <v>79265</v>
      </c>
      <c r="M11" s="10">
        <f aca="true" t="shared" si="1" ref="M11:M23">IF(K11=0," ",(L11-K11)/K11)</f>
        <v>0.111</v>
      </c>
      <c r="N11" s="68">
        <v>3</v>
      </c>
    </row>
    <row r="12" spans="2:14" ht="12" customHeight="1">
      <c r="B12" s="12" t="s">
        <v>24</v>
      </c>
      <c r="E12" s="3">
        <v>4</v>
      </c>
      <c r="F12" s="20"/>
      <c r="G12" s="20"/>
      <c r="H12" s="20">
        <v>4000</v>
      </c>
      <c r="I12" s="20">
        <v>400</v>
      </c>
      <c r="J12" s="20"/>
      <c r="K12" s="21">
        <f>[1]!SP1000P100F2300</f>
        <v>3900</v>
      </c>
      <c r="L12" s="6">
        <f t="shared" si="0"/>
        <v>4400</v>
      </c>
      <c r="M12" s="10">
        <f t="shared" si="1"/>
        <v>0.128</v>
      </c>
      <c r="N12" s="68">
        <v>4</v>
      </c>
    </row>
    <row r="13" spans="2:14" ht="12" customHeight="1">
      <c r="B13" s="12" t="s">
        <v>25</v>
      </c>
      <c r="E13" s="3">
        <v>5</v>
      </c>
      <c r="F13" s="20">
        <v>65372</v>
      </c>
      <c r="G13" s="20">
        <v>33902</v>
      </c>
      <c r="H13" s="20">
        <v>14800</v>
      </c>
      <c r="I13" s="20">
        <v>7200</v>
      </c>
      <c r="J13" s="20"/>
      <c r="K13" s="21">
        <f>[1]!SP1000P100F2400</f>
        <v>117021</v>
      </c>
      <c r="L13" s="6">
        <f t="shared" si="0"/>
        <v>121274</v>
      </c>
      <c r="M13" s="10">
        <f t="shared" si="1"/>
        <v>0.036</v>
      </c>
      <c r="N13" s="68">
        <v>5</v>
      </c>
    </row>
    <row r="14" spans="2:14" ht="12" customHeight="1">
      <c r="B14" s="12" t="s">
        <v>148</v>
      </c>
      <c r="E14" s="3">
        <v>6</v>
      </c>
      <c r="F14" s="20">
        <v>50000</v>
      </c>
      <c r="G14" s="20">
        <v>26890</v>
      </c>
      <c r="H14" s="20">
        <v>41700</v>
      </c>
      <c r="I14" s="20">
        <v>4500</v>
      </c>
      <c r="J14" s="20">
        <v>9000</v>
      </c>
      <c r="K14" s="21">
        <f>[1]!SP1000P100F2500</f>
        <v>114840</v>
      </c>
      <c r="L14" s="6">
        <f>SUM(F14:J14)</f>
        <v>132090</v>
      </c>
      <c r="M14" s="10">
        <f t="shared" si="1"/>
        <v>0.15</v>
      </c>
      <c r="N14" s="68">
        <v>6</v>
      </c>
    </row>
    <row r="15" spans="2:14" ht="12" customHeight="1">
      <c r="B15" s="12" t="s">
        <v>149</v>
      </c>
      <c r="E15" s="3">
        <v>7</v>
      </c>
      <c r="F15" s="20">
        <v>10000</v>
      </c>
      <c r="G15" s="20">
        <v>6108</v>
      </c>
      <c r="H15" s="20">
        <v>188850</v>
      </c>
      <c r="I15" s="20">
        <v>1000</v>
      </c>
      <c r="J15" s="20"/>
      <c r="K15" s="21">
        <f>[1]!SP1000P100F2600</f>
        <v>187412</v>
      </c>
      <c r="L15" s="6">
        <f t="shared" si="0"/>
        <v>205958</v>
      </c>
      <c r="M15" s="10">
        <f t="shared" si="1"/>
        <v>0.099</v>
      </c>
      <c r="N15" s="68">
        <v>7</v>
      </c>
    </row>
    <row r="16" spans="2:14" ht="12" customHeight="1">
      <c r="B16" s="12" t="s">
        <v>75</v>
      </c>
      <c r="E16" s="3">
        <v>8</v>
      </c>
      <c r="F16" s="20"/>
      <c r="G16" s="20"/>
      <c r="H16" s="20"/>
      <c r="I16" s="20"/>
      <c r="J16" s="20"/>
      <c r="K16" s="21">
        <f>[1]!SP1000P100F2900</f>
        <v>0</v>
      </c>
      <c r="L16" s="6">
        <f t="shared" si="0"/>
        <v>0</v>
      </c>
      <c r="M16" s="10" t="str">
        <f t="shared" si="1"/>
        <v> </v>
      </c>
      <c r="N16" s="68">
        <v>8</v>
      </c>
    </row>
    <row r="17" spans="2:14" ht="12" customHeight="1">
      <c r="B17" s="12" t="s">
        <v>26</v>
      </c>
      <c r="E17" s="3">
        <v>9</v>
      </c>
      <c r="F17" s="20">
        <v>29000</v>
      </c>
      <c r="G17" s="20">
        <v>11971</v>
      </c>
      <c r="H17" s="20"/>
      <c r="I17" s="20">
        <v>30500</v>
      </c>
      <c r="J17" s="20"/>
      <c r="K17" s="21">
        <f>[1]!SP1000P100F3000</f>
        <v>62162</v>
      </c>
      <c r="L17" s="6">
        <f t="shared" si="0"/>
        <v>71471</v>
      </c>
      <c r="M17" s="10">
        <f t="shared" si="1"/>
        <v>0.15</v>
      </c>
      <c r="N17" s="68">
        <v>9</v>
      </c>
    </row>
    <row r="18" spans="2:14" ht="12" customHeight="1">
      <c r="B18" s="12" t="s">
        <v>150</v>
      </c>
      <c r="E18" s="3">
        <v>10</v>
      </c>
      <c r="F18" s="20"/>
      <c r="G18" s="20"/>
      <c r="H18" s="20"/>
      <c r="I18" s="20"/>
      <c r="J18" s="20"/>
      <c r="K18" s="21">
        <f>[1]!SP1000P100F4000</f>
        <v>0</v>
      </c>
      <c r="L18" s="6">
        <f t="shared" si="0"/>
        <v>0</v>
      </c>
      <c r="M18" s="10" t="str">
        <f t="shared" si="1"/>
        <v> </v>
      </c>
      <c r="N18" s="68">
        <v>10</v>
      </c>
    </row>
    <row r="19" spans="2:14" ht="12" customHeight="1">
      <c r="B19" s="12" t="s">
        <v>27</v>
      </c>
      <c r="E19" s="16">
        <v>11</v>
      </c>
      <c r="F19" s="94"/>
      <c r="G19" s="20"/>
      <c r="H19" s="20"/>
      <c r="I19" s="20"/>
      <c r="J19" s="20"/>
      <c r="K19" s="21">
        <f>[1]!SP1000P100F5000</f>
        <v>0</v>
      </c>
      <c r="L19" s="6">
        <f t="shared" si="0"/>
        <v>0</v>
      </c>
      <c r="M19" s="10" t="str">
        <f t="shared" si="1"/>
        <v> </v>
      </c>
      <c r="N19" s="68">
        <v>11</v>
      </c>
    </row>
    <row r="20" spans="1:14" ht="12" customHeight="1">
      <c r="A20" s="12" t="s">
        <v>76</v>
      </c>
      <c r="E20" s="16">
        <v>12</v>
      </c>
      <c r="F20" s="94"/>
      <c r="G20" s="20"/>
      <c r="H20" s="20"/>
      <c r="I20" s="20"/>
      <c r="J20" s="20"/>
      <c r="K20" s="20">
        <f>[1]!SP1000P610</f>
        <v>0</v>
      </c>
      <c r="L20" s="6">
        <f t="shared" si="0"/>
        <v>0</v>
      </c>
      <c r="M20" s="10" t="str">
        <f t="shared" si="1"/>
        <v> </v>
      </c>
      <c r="N20" s="68">
        <v>12</v>
      </c>
    </row>
    <row r="21" spans="1:14" ht="12" customHeight="1">
      <c r="A21" s="12" t="s">
        <v>78</v>
      </c>
      <c r="E21" s="16">
        <v>13</v>
      </c>
      <c r="F21" s="94"/>
      <c r="G21" s="20"/>
      <c r="H21" s="20"/>
      <c r="I21" s="20"/>
      <c r="J21" s="20"/>
      <c r="K21" s="20">
        <f>[1]!SP1000P620</f>
        <v>0</v>
      </c>
      <c r="L21" s="6">
        <f>SUM(F21:J21)</f>
        <v>0</v>
      </c>
      <c r="M21" s="10" t="str">
        <f t="shared" si="1"/>
        <v> </v>
      </c>
      <c r="N21" s="68">
        <v>13</v>
      </c>
    </row>
    <row r="22" spans="1:14" ht="12" customHeight="1">
      <c r="A22" s="12" t="s">
        <v>77</v>
      </c>
      <c r="E22" s="16">
        <v>14</v>
      </c>
      <c r="F22" s="94">
        <v>21000</v>
      </c>
      <c r="G22" s="20">
        <v>9194</v>
      </c>
      <c r="H22" s="20">
        <v>18000</v>
      </c>
      <c r="I22" s="20">
        <f>10000+100</f>
        <v>10100</v>
      </c>
      <c r="J22" s="20">
        <v>15000</v>
      </c>
      <c r="K22" s="20">
        <f>[1]!SP1000P630700800900</f>
        <v>59016</v>
      </c>
      <c r="L22" s="6">
        <f t="shared" si="0"/>
        <v>73294</v>
      </c>
      <c r="M22" s="10">
        <f t="shared" si="1"/>
        <v>0.242</v>
      </c>
      <c r="N22" s="68">
        <v>14</v>
      </c>
    </row>
    <row r="23" spans="1:14" ht="12" customHeight="1">
      <c r="A23" s="26"/>
      <c r="B23" s="26" t="s">
        <v>142</v>
      </c>
      <c r="C23" s="26"/>
      <c r="D23" s="26"/>
      <c r="E23" s="18">
        <v>15</v>
      </c>
      <c r="F23" s="6">
        <f>SUM(F7:F22)</f>
        <v>676673</v>
      </c>
      <c r="G23" s="6">
        <f>SUM(G7:G22)</f>
        <v>225430</v>
      </c>
      <c r="H23" s="6">
        <f>SUM(H7:H22)</f>
        <v>332200</v>
      </c>
      <c r="I23" s="6">
        <f>SUM(I7:I22)</f>
        <v>91810</v>
      </c>
      <c r="J23" s="6">
        <f>SUM(J7:J22)</f>
        <v>24200</v>
      </c>
      <c r="K23" s="127">
        <f>SUM(K8:K22)</f>
        <v>1282570</v>
      </c>
      <c r="L23" s="127">
        <f t="shared" si="0"/>
        <v>1350313</v>
      </c>
      <c r="M23" s="10">
        <f t="shared" si="1"/>
        <v>0.053</v>
      </c>
      <c r="N23" s="68">
        <v>15</v>
      </c>
    </row>
    <row r="24" spans="1:14" ht="12" customHeight="1">
      <c r="A24" s="242" t="s">
        <v>28</v>
      </c>
      <c r="B24" s="201"/>
      <c r="C24" s="201"/>
      <c r="D24" s="202"/>
      <c r="E24" s="3"/>
      <c r="F24" s="97"/>
      <c r="G24" s="97"/>
      <c r="H24" s="97"/>
      <c r="I24" s="97"/>
      <c r="J24" s="99"/>
      <c r="K24" s="54"/>
      <c r="L24" s="54"/>
      <c r="M24" s="54"/>
      <c r="N24" s="68"/>
    </row>
    <row r="25" spans="2:14" ht="12" customHeight="1">
      <c r="B25" s="12" t="s">
        <v>22</v>
      </c>
      <c r="E25" s="3">
        <v>16</v>
      </c>
      <c r="F25" s="20"/>
      <c r="G25" s="20"/>
      <c r="H25" s="20">
        <v>5000</v>
      </c>
      <c r="I25" s="20">
        <v>100</v>
      </c>
      <c r="J25" s="130"/>
      <c r="K25" s="20">
        <f>[1]!SP1000P200F1000</f>
        <v>10283</v>
      </c>
      <c r="L25" s="6">
        <f>SUM(F25:J25)</f>
        <v>5100</v>
      </c>
      <c r="M25" s="184">
        <f>IF(K25=0," ",(L25-K25)/K25)</f>
        <v>-0.504</v>
      </c>
      <c r="N25" s="68">
        <v>16</v>
      </c>
    </row>
    <row r="26" spans="2:14" ht="12" customHeight="1">
      <c r="B26" s="12" t="s">
        <v>23</v>
      </c>
      <c r="E26" s="3"/>
      <c r="F26" s="97"/>
      <c r="G26" s="97"/>
      <c r="H26" s="97"/>
      <c r="I26" s="97"/>
      <c r="J26" s="99"/>
      <c r="K26" s="54"/>
      <c r="L26" s="54"/>
      <c r="M26" s="54"/>
      <c r="N26" s="68"/>
    </row>
    <row r="27" spans="2:14" ht="12" customHeight="1">
      <c r="B27" s="12" t="s">
        <v>129</v>
      </c>
      <c r="E27" s="16">
        <v>17</v>
      </c>
      <c r="F27" s="20">
        <v>14000</v>
      </c>
      <c r="G27" s="20">
        <v>8733</v>
      </c>
      <c r="H27" s="20">
        <v>5100</v>
      </c>
      <c r="I27" s="20"/>
      <c r="J27" s="130"/>
      <c r="K27" s="20">
        <f>[1]!SP1000P200F2100</f>
        <v>19556</v>
      </c>
      <c r="L27" s="6">
        <f>SUM(F27:J27)</f>
        <v>27833</v>
      </c>
      <c r="M27" s="184">
        <f>IF(K27=0," ",(L27-K27)/K27)</f>
        <v>0.423</v>
      </c>
      <c r="N27" s="68">
        <v>17</v>
      </c>
    </row>
    <row r="28" spans="2:14" ht="12" customHeight="1">
      <c r="B28" s="12" t="s">
        <v>147</v>
      </c>
      <c r="E28" s="16">
        <v>18</v>
      </c>
      <c r="F28" s="20">
        <v>26868</v>
      </c>
      <c r="G28" s="20">
        <v>13912</v>
      </c>
      <c r="H28" s="20"/>
      <c r="I28" s="20"/>
      <c r="J28" s="20"/>
      <c r="K28" s="20">
        <f>[1]!SP1000P200F2200</f>
        <v>38853</v>
      </c>
      <c r="L28" s="6">
        <f aca="true" t="shared" si="2" ref="L28:L42">SUM(F28:J28)</f>
        <v>40780</v>
      </c>
      <c r="M28" s="100">
        <f aca="true" t="shared" si="3" ref="M28:M48">IF(K28=0," ",(L28-K28)/K28)</f>
        <v>0.05</v>
      </c>
      <c r="N28" s="68">
        <v>18</v>
      </c>
    </row>
    <row r="29" spans="2:14" ht="12" customHeight="1">
      <c r="B29" s="12" t="s">
        <v>24</v>
      </c>
      <c r="E29" s="16">
        <v>19</v>
      </c>
      <c r="F29" s="20"/>
      <c r="G29" s="20"/>
      <c r="H29" s="20"/>
      <c r="I29" s="20"/>
      <c r="J29" s="20"/>
      <c r="K29" s="21">
        <f>[1]!SP1000P200F2300</f>
        <v>0</v>
      </c>
      <c r="L29" s="6">
        <f t="shared" si="2"/>
        <v>0</v>
      </c>
      <c r="M29" s="10" t="str">
        <f t="shared" si="3"/>
        <v> </v>
      </c>
      <c r="N29" s="68">
        <v>19</v>
      </c>
    </row>
    <row r="30" spans="2:14" ht="12" customHeight="1">
      <c r="B30" s="12" t="s">
        <v>25</v>
      </c>
      <c r="E30" s="16">
        <v>20</v>
      </c>
      <c r="F30" s="20"/>
      <c r="G30" s="20"/>
      <c r="H30" s="20"/>
      <c r="I30" s="20"/>
      <c r="J30" s="20"/>
      <c r="K30" s="21">
        <f>[1]!SP1000P200F2400</f>
        <v>0</v>
      </c>
      <c r="L30" s="6">
        <f t="shared" si="2"/>
        <v>0</v>
      </c>
      <c r="M30" s="10" t="str">
        <f t="shared" si="3"/>
        <v> </v>
      </c>
      <c r="N30" s="68">
        <v>20</v>
      </c>
    </row>
    <row r="31" spans="2:14" ht="12" customHeight="1">
      <c r="B31" s="12" t="s">
        <v>148</v>
      </c>
      <c r="E31" s="16">
        <v>21</v>
      </c>
      <c r="F31" s="20"/>
      <c r="G31" s="20"/>
      <c r="H31" s="20"/>
      <c r="I31" s="20"/>
      <c r="J31" s="20"/>
      <c r="K31" s="21">
        <f>[1]!SP1000P200F2500</f>
        <v>2075</v>
      </c>
      <c r="L31" s="6">
        <f>SUM(F31:J31)</f>
        <v>0</v>
      </c>
      <c r="M31" s="10">
        <f t="shared" si="3"/>
        <v>-1</v>
      </c>
      <c r="N31" s="68">
        <v>21</v>
      </c>
    </row>
    <row r="32" spans="2:14" ht="12" customHeight="1">
      <c r="B32" s="12" t="s">
        <v>149</v>
      </c>
      <c r="E32" s="16">
        <v>22</v>
      </c>
      <c r="F32" s="20"/>
      <c r="G32" s="20"/>
      <c r="H32" s="20"/>
      <c r="I32" s="20"/>
      <c r="J32" s="20"/>
      <c r="K32" s="21">
        <f>[1]!SP1000P200F2600</f>
        <v>9021</v>
      </c>
      <c r="L32" s="6">
        <f t="shared" si="2"/>
        <v>0</v>
      </c>
      <c r="M32" s="10">
        <f t="shared" si="3"/>
        <v>-1</v>
      </c>
      <c r="N32" s="68">
        <v>22</v>
      </c>
    </row>
    <row r="33" spans="2:14" ht="12" customHeight="1">
      <c r="B33" s="12" t="s">
        <v>75</v>
      </c>
      <c r="E33" s="16">
        <v>23</v>
      </c>
      <c r="F33" s="20"/>
      <c r="G33" s="20"/>
      <c r="H33" s="20"/>
      <c r="I33" s="20"/>
      <c r="J33" s="20"/>
      <c r="K33" s="21">
        <f>[1]!SP1000P200F2900</f>
        <v>0</v>
      </c>
      <c r="L33" s="6">
        <f t="shared" si="2"/>
        <v>0</v>
      </c>
      <c r="M33" s="10" t="str">
        <f t="shared" si="3"/>
        <v> </v>
      </c>
      <c r="N33" s="68">
        <v>23</v>
      </c>
    </row>
    <row r="34" spans="2:18" ht="12" customHeight="1">
      <c r="B34" s="12" t="s">
        <v>26</v>
      </c>
      <c r="E34" s="16">
        <v>24</v>
      </c>
      <c r="F34" s="20"/>
      <c r="G34" s="20"/>
      <c r="H34" s="20"/>
      <c r="I34" s="20"/>
      <c r="J34" s="20"/>
      <c r="K34" s="21">
        <f>[1]!SP1000P200F3000</f>
        <v>0</v>
      </c>
      <c r="L34" s="6">
        <f t="shared" si="2"/>
        <v>0</v>
      </c>
      <c r="M34" s="10" t="str">
        <f t="shared" si="3"/>
        <v> </v>
      </c>
      <c r="N34" s="68">
        <v>24</v>
      </c>
      <c r="R34" s="197"/>
    </row>
    <row r="35" spans="2:14" ht="12" customHeight="1">
      <c r="B35" s="12" t="s">
        <v>150</v>
      </c>
      <c r="E35" s="16">
        <v>25</v>
      </c>
      <c r="F35" s="20"/>
      <c r="G35" s="20"/>
      <c r="H35" s="20"/>
      <c r="I35" s="20"/>
      <c r="J35" s="20"/>
      <c r="K35" s="21">
        <f>[1]!SP1000P200F4000</f>
        <v>0</v>
      </c>
      <c r="L35" s="6">
        <f t="shared" si="2"/>
        <v>0</v>
      </c>
      <c r="M35" s="10" t="str">
        <f t="shared" si="3"/>
        <v> </v>
      </c>
      <c r="N35" s="68">
        <v>25</v>
      </c>
    </row>
    <row r="36" spans="2:14" ht="12" customHeight="1">
      <c r="B36" s="12" t="s">
        <v>27</v>
      </c>
      <c r="E36" s="3">
        <v>26</v>
      </c>
      <c r="F36" s="20"/>
      <c r="G36" s="20"/>
      <c r="H36" s="20"/>
      <c r="I36" s="20"/>
      <c r="J36" s="20"/>
      <c r="K36" s="21">
        <f>[1]!SP1000P200F5000</f>
        <v>0</v>
      </c>
      <c r="L36" s="6">
        <f t="shared" si="2"/>
        <v>0</v>
      </c>
      <c r="M36" s="10" t="str">
        <f t="shared" si="3"/>
        <v> </v>
      </c>
      <c r="N36" s="68">
        <v>26</v>
      </c>
    </row>
    <row r="37" spans="1:14" ht="12" customHeight="1">
      <c r="A37" s="26"/>
      <c r="B37" s="26" t="s">
        <v>86</v>
      </c>
      <c r="C37" s="26"/>
      <c r="D37" s="26"/>
      <c r="E37" s="18">
        <v>27</v>
      </c>
      <c r="F37" s="15">
        <f>SUM(F24:F36)</f>
        <v>40868</v>
      </c>
      <c r="G37" s="15">
        <f>SUM(G24:G36)</f>
        <v>22645</v>
      </c>
      <c r="H37" s="15">
        <f>SUM(H24:H36)</f>
        <v>10100</v>
      </c>
      <c r="I37" s="15">
        <f>SUM(I24:I36)</f>
        <v>100</v>
      </c>
      <c r="J37" s="15">
        <f>SUM(J24:J36)</f>
        <v>0</v>
      </c>
      <c r="K37" s="15">
        <f>SUM(K25:K36)</f>
        <v>79788</v>
      </c>
      <c r="L37" s="15">
        <f t="shared" si="2"/>
        <v>73713</v>
      </c>
      <c r="M37" s="100">
        <f t="shared" si="3"/>
        <v>-0.076</v>
      </c>
      <c r="N37" s="68">
        <v>27</v>
      </c>
    </row>
    <row r="38" spans="1:14" ht="0.75" customHeight="1">
      <c r="A38" t="s">
        <v>151</v>
      </c>
      <c r="B38"/>
      <c r="C38"/>
      <c r="D38"/>
      <c r="E38" s="3">
        <v>28</v>
      </c>
      <c r="F38" s="7"/>
      <c r="G38" s="7"/>
      <c r="H38" s="7"/>
      <c r="I38" s="7"/>
      <c r="J38" s="7"/>
      <c r="K38" s="7"/>
      <c r="L38" s="7"/>
      <c r="M38" s="9"/>
      <c r="N38" s="2">
        <v>28</v>
      </c>
    </row>
    <row r="39" spans="1:14" ht="12" customHeight="1">
      <c r="A39" s="26" t="s">
        <v>29</v>
      </c>
      <c r="B39" s="26"/>
      <c r="C39" s="26"/>
      <c r="D39" s="26"/>
      <c r="E39" s="18">
        <v>28</v>
      </c>
      <c r="F39" s="20"/>
      <c r="G39" s="20"/>
      <c r="H39" s="20"/>
      <c r="I39" s="20"/>
      <c r="J39" s="20"/>
      <c r="K39" s="20">
        <f>[1]!SP1000P400</f>
        <v>0</v>
      </c>
      <c r="L39" s="6">
        <f t="shared" si="2"/>
        <v>0</v>
      </c>
      <c r="M39" s="10" t="str">
        <f t="shared" si="3"/>
        <v> </v>
      </c>
      <c r="N39" s="68">
        <v>28</v>
      </c>
    </row>
    <row r="40" spans="1:14" ht="12" customHeight="1">
      <c r="A40" s="26" t="s">
        <v>30</v>
      </c>
      <c r="B40" s="26"/>
      <c r="C40" s="26"/>
      <c r="D40" s="26"/>
      <c r="E40" s="5">
        <v>29</v>
      </c>
      <c r="F40" s="20"/>
      <c r="G40" s="20"/>
      <c r="H40" s="20"/>
      <c r="I40" s="20"/>
      <c r="J40" s="20"/>
      <c r="K40" s="21">
        <f>[1]!SP1000P530</f>
        <v>0</v>
      </c>
      <c r="L40" s="6">
        <f>SUM(F40:J40)</f>
        <v>0</v>
      </c>
      <c r="M40" s="10" t="str">
        <f t="shared" si="3"/>
        <v> </v>
      </c>
      <c r="N40" s="68">
        <v>29</v>
      </c>
    </row>
    <row r="41" spans="1:14" ht="12" customHeight="1">
      <c r="A41" s="26" t="s">
        <v>152</v>
      </c>
      <c r="B41" s="26"/>
      <c r="C41" s="26"/>
      <c r="D41" s="26"/>
      <c r="E41" s="5">
        <v>30</v>
      </c>
      <c r="F41" s="20"/>
      <c r="G41" s="20"/>
      <c r="H41" s="20"/>
      <c r="I41" s="20"/>
      <c r="J41" s="20"/>
      <c r="K41" s="21">
        <f>[1]!SP1000P540</f>
        <v>0</v>
      </c>
      <c r="L41" s="6">
        <f t="shared" si="2"/>
        <v>0</v>
      </c>
      <c r="M41" s="10" t="str">
        <f t="shared" si="3"/>
        <v> </v>
      </c>
      <c r="N41" s="68">
        <v>30</v>
      </c>
    </row>
    <row r="42" spans="1:14" ht="12" customHeight="1">
      <c r="A42" s="210" t="s">
        <v>213</v>
      </c>
      <c r="B42" s="205"/>
      <c r="C42" s="205"/>
      <c r="D42" s="205"/>
      <c r="E42" s="5">
        <v>31</v>
      </c>
      <c r="F42" s="20">
        <v>15000</v>
      </c>
      <c r="G42" s="20">
        <v>2930</v>
      </c>
      <c r="H42" s="20"/>
      <c r="I42" s="20"/>
      <c r="J42" s="20"/>
      <c r="K42" s="21">
        <f>[1]!SP1000P550</f>
        <v>17108</v>
      </c>
      <c r="L42" s="6">
        <f t="shared" si="2"/>
        <v>17930</v>
      </c>
      <c r="M42" s="10">
        <f t="shared" si="3"/>
        <v>0.048</v>
      </c>
      <c r="N42" s="68">
        <v>31</v>
      </c>
    </row>
    <row r="43" spans="1:14" ht="12" customHeight="1">
      <c r="A43" s="26"/>
      <c r="B43" s="104" t="s">
        <v>265</v>
      </c>
      <c r="C43" s="26"/>
      <c r="D43" s="26"/>
      <c r="E43" s="5">
        <v>32</v>
      </c>
      <c r="F43" s="6">
        <f aca="true" t="shared" si="4" ref="F43:K43">SUM(F37:F42)+F23</f>
        <v>732541</v>
      </c>
      <c r="G43" s="6">
        <f t="shared" si="4"/>
        <v>251005</v>
      </c>
      <c r="H43" s="6">
        <f t="shared" si="4"/>
        <v>342300</v>
      </c>
      <c r="I43" s="6">
        <f t="shared" si="4"/>
        <v>91910</v>
      </c>
      <c r="J43" s="6">
        <f t="shared" si="4"/>
        <v>24200</v>
      </c>
      <c r="K43" s="6">
        <f t="shared" si="4"/>
        <v>1379466</v>
      </c>
      <c r="L43" s="6">
        <f>SUM(F43:J43)</f>
        <v>1441956</v>
      </c>
      <c r="M43" s="10">
        <f t="shared" si="3"/>
        <v>0.045</v>
      </c>
      <c r="N43" s="68">
        <v>32</v>
      </c>
    </row>
    <row r="44" spans="1:14" ht="12" customHeight="1">
      <c r="A44" s="104" t="s">
        <v>257</v>
      </c>
      <c r="B44" s="26"/>
      <c r="C44" s="26"/>
      <c r="D44" s="26"/>
      <c r="E44" s="5">
        <v>33</v>
      </c>
      <c r="F44" s="6">
        <f>TotalCSP6100</f>
        <v>71436</v>
      </c>
      <c r="G44" s="6">
        <f>TotalCSP6200</f>
        <v>14845</v>
      </c>
      <c r="H44" s="6">
        <f>TotalCSP630064006500</f>
        <v>0</v>
      </c>
      <c r="I44" s="6">
        <f>TotalCSP6600</f>
        <v>0</v>
      </c>
      <c r="J44" s="96"/>
      <c r="K44" s="20">
        <f>[1]!SP1000ClassSiteProj</f>
        <v>84394</v>
      </c>
      <c r="L44" s="6">
        <f>SUM(F44:J44)</f>
        <v>86281</v>
      </c>
      <c r="M44" s="10">
        <f t="shared" si="3"/>
        <v>0.022</v>
      </c>
      <c r="N44" s="68">
        <v>33</v>
      </c>
    </row>
    <row r="45" spans="1:14" ht="12" customHeight="1">
      <c r="A45" s="104" t="s">
        <v>258</v>
      </c>
      <c r="B45" s="26"/>
      <c r="C45" s="26"/>
      <c r="D45" s="26"/>
      <c r="E45" s="5">
        <v>34</v>
      </c>
      <c r="F45" s="96"/>
      <c r="G45" s="96"/>
      <c r="H45" s="96"/>
      <c r="I45" s="96"/>
      <c r="J45" s="96"/>
      <c r="K45" s="20">
        <f>[1]!SP1000InstrImpProj</f>
        <v>9506</v>
      </c>
      <c r="L45" s="6">
        <f>TotalInstructionalImprovement</f>
        <v>9662</v>
      </c>
      <c r="M45" s="10">
        <f t="shared" si="3"/>
        <v>0.016</v>
      </c>
      <c r="N45" s="68">
        <v>34</v>
      </c>
    </row>
    <row r="46" spans="1:14" ht="12" customHeight="1">
      <c r="A46" s="104" t="s">
        <v>493</v>
      </c>
      <c r="B46" s="26"/>
      <c r="C46" s="26"/>
      <c r="D46" s="26"/>
      <c r="E46" s="5">
        <v>35</v>
      </c>
      <c r="F46" s="6">
        <f>TotalSEIP6100</f>
        <v>0</v>
      </c>
      <c r="G46" s="6">
        <f>TotalSEIP6200</f>
        <v>0</v>
      </c>
      <c r="H46" s="6">
        <f>TotalSEIP630064006500</f>
        <v>0</v>
      </c>
      <c r="I46" s="6">
        <f>TotalSEIP6600</f>
        <v>0</v>
      </c>
      <c r="J46" s="6">
        <f>TotalSEIP6800</f>
        <v>0</v>
      </c>
      <c r="K46" s="20">
        <f>[1]!SP1000StruEngImmProj</f>
        <v>0</v>
      </c>
      <c r="L46" s="6">
        <f>TotalSEIP</f>
        <v>0</v>
      </c>
      <c r="M46" s="10" t="str">
        <f t="shared" si="3"/>
        <v> </v>
      </c>
      <c r="N46" s="68">
        <v>35</v>
      </c>
    </row>
    <row r="47" spans="1:14" ht="12" customHeight="1">
      <c r="A47" s="104" t="s">
        <v>259</v>
      </c>
      <c r="B47" s="26"/>
      <c r="C47" s="26"/>
      <c r="D47" s="26"/>
      <c r="E47" s="5">
        <v>36</v>
      </c>
      <c r="F47" s="6">
        <f>TotalCIP6100</f>
        <v>0</v>
      </c>
      <c r="G47" s="6">
        <f>TotalCIP6200</f>
        <v>0</v>
      </c>
      <c r="H47" s="6">
        <f>TotalCIP630064006500</f>
        <v>0</v>
      </c>
      <c r="I47" s="6">
        <f>TotalCIP6600</f>
        <v>0</v>
      </c>
      <c r="J47" s="6">
        <f>TotalCIP6800</f>
        <v>0</v>
      </c>
      <c r="K47" s="21">
        <f>[1]!SP1000CompInstrProj</f>
        <v>0</v>
      </c>
      <c r="L47" s="6">
        <f>TotalCIP</f>
        <v>0</v>
      </c>
      <c r="M47" s="10" t="str">
        <f t="shared" si="3"/>
        <v> </v>
      </c>
      <c r="N47" s="68">
        <v>36</v>
      </c>
    </row>
    <row r="48" spans="1:14" ht="12" customHeight="1">
      <c r="A48" s="210" t="s">
        <v>280</v>
      </c>
      <c r="B48" s="205"/>
      <c r="C48" s="205"/>
      <c r="D48" s="205"/>
      <c r="E48" s="215">
        <v>37</v>
      </c>
      <c r="F48" s="96"/>
      <c r="G48" s="96"/>
      <c r="H48" s="96"/>
      <c r="I48" s="96"/>
      <c r="J48" s="96"/>
      <c r="K48" s="21">
        <f>[1]!SP1000FedStProj</f>
        <v>22928</v>
      </c>
      <c r="L48" s="6">
        <f>FederalandStateProjectsTotal</f>
        <v>22902</v>
      </c>
      <c r="M48" s="10">
        <f t="shared" si="3"/>
        <v>-0.001</v>
      </c>
      <c r="N48" s="68">
        <v>37</v>
      </c>
    </row>
    <row r="49" spans="1:14" ht="12" customHeight="1">
      <c r="A49" s="72"/>
      <c r="B49" s="104" t="s">
        <v>272</v>
      </c>
      <c r="C49" s="26"/>
      <c r="D49" s="26"/>
      <c r="E49" s="5">
        <v>38</v>
      </c>
      <c r="F49" s="11">
        <f>SUM(F43+F44+F46+F47)</f>
        <v>803977</v>
      </c>
      <c r="G49" s="11">
        <f>SUM(G43+G44+G46+G47)</f>
        <v>265850</v>
      </c>
      <c r="H49" s="11">
        <f>SUM(H43+H44+H46+H47)</f>
        <v>342300</v>
      </c>
      <c r="I49" s="11">
        <f>SUM(I43+I44+I46+I47)</f>
        <v>91910</v>
      </c>
      <c r="J49" s="11">
        <f>SUM(J43+J46+J47)</f>
        <v>24200</v>
      </c>
      <c r="K49" s="8">
        <f>SUM(K43:K48)</f>
        <v>1496294</v>
      </c>
      <c r="L49" s="8">
        <f>SUM(L43:L48)</f>
        <v>1560801</v>
      </c>
      <c r="M49" s="10">
        <f>IF(K49=0," ",(L49-K49)/K49)</f>
        <v>0.043</v>
      </c>
      <c r="N49" s="68">
        <v>38</v>
      </c>
    </row>
    <row r="52" ht="12.75" customHeight="1">
      <c r="F52" s="197"/>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79" r:id="rId4"/>
  <headerFooter>
    <oddFooter>&amp;L&amp;"Arial,Bold"Rev. 5/19 Arizona Department of Education and Auditor General&amp;R&amp;"Arial,Bold"Page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zoomScale="90" zoomScaleNormal="90" workbookViewId="0" topLeftCell="A1">
      <selection activeCell="N33" sqref="N33"/>
    </sheetView>
  </sheetViews>
  <sheetFormatPr defaultColWidth="9.140625" defaultRowHeight="12.75" customHeight="1"/>
  <cols>
    <col min="1" max="1" width="3.7109375" style="0" customWidth="1"/>
    <col min="2" max="2" width="14.57421875" style="0" customWidth="1"/>
    <col min="3" max="3" width="35.140625" style="0" customWidth="1"/>
    <col min="4" max="5" width="12.28125" style="0" customWidth="1"/>
    <col min="6" max="6" width="3.7109375" style="0" customWidth="1"/>
    <col min="7" max="7" width="5.28125" style="0" customWidth="1"/>
    <col min="8" max="8" width="27.421875" style="0" customWidth="1"/>
    <col min="9" max="9" width="6.7109375" style="0" customWidth="1"/>
    <col min="10" max="10" width="6.421875" style="0" customWidth="1"/>
    <col min="11" max="11" width="5.421875" style="0" customWidth="1"/>
    <col min="12" max="12" width="7.140625" style="0" customWidth="1"/>
    <col min="13" max="14" width="12.28125" style="0" customWidth="1"/>
    <col min="15" max="15" width="3.7109375" style="0" customWidth="1"/>
    <col min="16" max="16" width="7.7109375" style="0" customWidth="1"/>
  </cols>
  <sheetData>
    <row r="1" spans="1:24" ht="13.5" customHeight="1">
      <c r="A1" s="85" t="s">
        <v>0</v>
      </c>
      <c r="C1" s="591" t="str">
        <f>Cover!D1</f>
        <v>Scottsdale Country Day School</v>
      </c>
      <c r="D1" s="592"/>
      <c r="E1" s="592"/>
      <c r="F1" s="592"/>
      <c r="H1" s="36" t="s">
        <v>1</v>
      </c>
      <c r="I1" s="593" t="str">
        <f>Cover!M1</f>
        <v>Maricopa</v>
      </c>
      <c r="J1" s="578"/>
      <c r="K1" s="578"/>
      <c r="M1" s="36" t="s">
        <v>89</v>
      </c>
      <c r="N1" s="207" t="str">
        <f>Cover!R1</f>
        <v>078243000</v>
      </c>
      <c r="P1" s="85"/>
      <c r="Q1" s="85"/>
      <c r="R1" s="85"/>
      <c r="S1" s="85"/>
      <c r="T1" s="85"/>
      <c r="U1" s="85"/>
      <c r="V1" s="85"/>
      <c r="W1" s="85"/>
      <c r="X1" s="85"/>
    </row>
    <row r="2" spans="1:24" ht="7.5" customHeight="1">
      <c r="A2" s="86"/>
      <c r="B2" s="29"/>
      <c r="C2" s="29"/>
      <c r="D2" s="29"/>
      <c r="E2" s="29"/>
      <c r="H2" s="194"/>
      <c r="I2" s="193"/>
      <c r="J2" s="193"/>
      <c r="K2" s="193"/>
      <c r="L2" s="193"/>
      <c r="M2" s="193"/>
      <c r="N2" s="193"/>
      <c r="P2" s="85"/>
      <c r="Q2" s="85"/>
      <c r="R2" s="85"/>
      <c r="S2" s="85"/>
      <c r="T2" s="85"/>
      <c r="U2" s="85"/>
      <c r="V2" s="85"/>
      <c r="W2" s="85"/>
      <c r="X2" s="85"/>
    </row>
    <row r="3" spans="1:24" ht="12" customHeight="1">
      <c r="A3" s="544" t="s">
        <v>73</v>
      </c>
      <c r="B3" s="544"/>
      <c r="C3" s="544"/>
      <c r="D3" s="220"/>
      <c r="E3" s="220"/>
      <c r="H3" s="211" t="s">
        <v>56</v>
      </c>
      <c r="I3" s="204"/>
      <c r="J3" s="204"/>
      <c r="K3" s="204"/>
      <c r="L3" s="204"/>
      <c r="M3" s="204"/>
      <c r="N3" s="204"/>
      <c r="P3" s="85"/>
      <c r="Q3" s="590"/>
      <c r="R3" s="590"/>
      <c r="S3" s="85"/>
      <c r="T3" s="85"/>
      <c r="U3" s="85"/>
      <c r="V3" s="85"/>
      <c r="W3" s="85"/>
      <c r="X3" s="85"/>
    </row>
    <row r="4" spans="1:24" ht="40.5" customHeight="1">
      <c r="A4" t="s">
        <v>31</v>
      </c>
      <c r="D4" s="106" t="s">
        <v>494</v>
      </c>
      <c r="E4" s="106" t="s">
        <v>495</v>
      </c>
      <c r="H4" s="29"/>
      <c r="I4" s="29"/>
      <c r="J4" s="29"/>
      <c r="K4" s="29"/>
      <c r="M4" s="106" t="s">
        <v>496</v>
      </c>
      <c r="N4" s="106" t="s">
        <v>497</v>
      </c>
      <c r="P4" s="85"/>
      <c r="Q4" s="590"/>
      <c r="R4" s="590"/>
      <c r="S4" s="85"/>
      <c r="T4" s="85"/>
      <c r="U4" s="85"/>
      <c r="V4" s="85"/>
      <c r="W4" s="85"/>
      <c r="X4" s="85"/>
    </row>
    <row r="5" spans="1:24" ht="12" customHeight="1">
      <c r="A5" s="116">
        <v>1</v>
      </c>
      <c r="B5" s="118" t="s">
        <v>179</v>
      </c>
      <c r="C5" s="117"/>
      <c r="D5" s="111">
        <f>[1]!FP11001130TitleI</f>
        <v>0</v>
      </c>
      <c r="E5" s="111"/>
      <c r="F5" s="27">
        <v>1</v>
      </c>
      <c r="G5" s="120">
        <v>1</v>
      </c>
      <c r="H5" s="216" t="s">
        <v>262</v>
      </c>
      <c r="I5" s="216"/>
      <c r="J5" s="233"/>
      <c r="K5" s="117"/>
      <c r="M5" s="112">
        <f>'[1]Page 2'!$N$5</f>
        <v>79788</v>
      </c>
      <c r="N5" s="112">
        <f>'Page 1'!L37</f>
        <v>73713</v>
      </c>
      <c r="O5" s="27">
        <v>1</v>
      </c>
      <c r="P5" s="85"/>
      <c r="Q5" s="85"/>
      <c r="R5" s="219"/>
      <c r="S5" s="219"/>
      <c r="T5" s="85"/>
      <c r="U5" s="85"/>
      <c r="V5" s="85"/>
      <c r="W5" s="85"/>
      <c r="X5" s="85"/>
    </row>
    <row r="6" spans="1:24" ht="12" customHeight="1">
      <c r="A6" s="116">
        <v>2</v>
      </c>
      <c r="B6" s="118" t="s">
        <v>180</v>
      </c>
      <c r="C6" s="117"/>
      <c r="D6" s="111">
        <f>[1]!FP11401150TitleII</f>
        <v>0</v>
      </c>
      <c r="E6" s="111"/>
      <c r="F6" s="27">
        <v>2</v>
      </c>
      <c r="G6" s="120">
        <v>2</v>
      </c>
      <c r="H6" s="117" t="s">
        <v>33</v>
      </c>
      <c r="I6" s="117"/>
      <c r="J6" s="117"/>
      <c r="K6" s="117"/>
      <c r="M6" s="112">
        <f>[1]!P200GiftedEducation</f>
        <v>0</v>
      </c>
      <c r="N6" s="112"/>
      <c r="O6" s="27">
        <v>2</v>
      </c>
      <c r="P6" s="85"/>
      <c r="Q6" s="85"/>
      <c r="R6" s="219"/>
      <c r="S6" s="219"/>
      <c r="T6" s="85"/>
      <c r="U6" s="85"/>
      <c r="V6" s="85"/>
      <c r="W6" s="85"/>
      <c r="X6" s="85"/>
    </row>
    <row r="7" spans="1:24" ht="12" customHeight="1">
      <c r="A7" s="116">
        <v>3</v>
      </c>
      <c r="B7" s="118" t="s">
        <v>181</v>
      </c>
      <c r="C7" s="117"/>
      <c r="D7" s="111">
        <f>[1]!FP1160TitleIV</f>
        <v>0</v>
      </c>
      <c r="E7" s="111"/>
      <c r="F7" s="27">
        <v>3</v>
      </c>
      <c r="G7" s="120">
        <v>3</v>
      </c>
      <c r="H7" s="117" t="s">
        <v>145</v>
      </c>
      <c r="I7" s="117"/>
      <c r="J7" s="117"/>
      <c r="K7" s="117"/>
      <c r="M7" s="111">
        <f>[1]!P200ELLIncrementalCosts</f>
        <v>0</v>
      </c>
      <c r="N7" s="111"/>
      <c r="O7" s="27">
        <v>3</v>
      </c>
      <c r="P7" s="85"/>
      <c r="Q7" s="85"/>
      <c r="R7" s="219"/>
      <c r="S7" s="219"/>
      <c r="T7" s="85"/>
      <c r="U7" s="85"/>
      <c r="V7" s="85"/>
      <c r="W7" s="85"/>
      <c r="X7" s="85"/>
    </row>
    <row r="8" spans="1:24" ht="12" customHeight="1">
      <c r="A8" s="116">
        <v>4</v>
      </c>
      <c r="B8" s="118" t="s">
        <v>182</v>
      </c>
      <c r="C8" s="117"/>
      <c r="D8" s="111">
        <f>[1]!FP11701180TitleV</f>
        <v>0</v>
      </c>
      <c r="E8" s="111"/>
      <c r="F8" s="27">
        <v>4</v>
      </c>
      <c r="G8" s="120">
        <v>4</v>
      </c>
      <c r="H8" s="117" t="s">
        <v>146</v>
      </c>
      <c r="I8" s="117"/>
      <c r="J8" s="117"/>
      <c r="K8" s="117"/>
      <c r="M8" s="111">
        <f>[1]!P200ELLCompensatoryInstruction</f>
        <v>0</v>
      </c>
      <c r="N8" s="111"/>
      <c r="O8" s="27">
        <v>4</v>
      </c>
      <c r="P8" s="85"/>
      <c r="Q8" s="85"/>
      <c r="R8" s="219"/>
      <c r="S8" s="219"/>
      <c r="T8" s="85"/>
      <c r="U8" s="85"/>
      <c r="V8" s="85"/>
      <c r="W8" s="85"/>
      <c r="X8" s="85"/>
    </row>
    <row r="9" spans="1:24" ht="12" customHeight="1">
      <c r="A9" s="116">
        <v>5</v>
      </c>
      <c r="B9" s="118" t="s">
        <v>183</v>
      </c>
      <c r="C9" s="117"/>
      <c r="D9" s="111">
        <f>[1]!FP1190TitleIII</f>
        <v>0</v>
      </c>
      <c r="E9" s="111"/>
      <c r="F9" s="27">
        <v>5</v>
      </c>
      <c r="G9" s="120">
        <v>5</v>
      </c>
      <c r="H9" s="117" t="s">
        <v>34</v>
      </c>
      <c r="I9" s="117"/>
      <c r="J9" s="117"/>
      <c r="K9" s="117"/>
      <c r="M9" s="111">
        <f>[1]!P200RemedialEducation</f>
        <v>0</v>
      </c>
      <c r="N9" s="111"/>
      <c r="O9" s="27">
        <v>5</v>
      </c>
      <c r="P9" s="85"/>
      <c r="Q9" s="85"/>
      <c r="R9" s="219"/>
      <c r="S9" s="219"/>
      <c r="T9" s="85"/>
      <c r="U9" s="85"/>
      <c r="V9" s="85"/>
      <c r="W9" s="85"/>
      <c r="X9" s="85"/>
    </row>
    <row r="10" spans="1:24" ht="12" customHeight="1">
      <c r="A10" s="116">
        <v>6</v>
      </c>
      <c r="B10" s="118" t="s">
        <v>184</v>
      </c>
      <c r="C10" s="117"/>
      <c r="D10" s="111">
        <f>[1]!FP1200TitleVII</f>
        <v>0</v>
      </c>
      <c r="E10" s="111"/>
      <c r="F10" s="27">
        <v>6</v>
      </c>
      <c r="G10" s="120">
        <v>6</v>
      </c>
      <c r="H10" s="492" t="s">
        <v>498</v>
      </c>
      <c r="I10" s="117"/>
      <c r="J10" s="117"/>
      <c r="K10" s="117"/>
      <c r="M10" s="111">
        <f>[1]!P200VocationalandTechnologicalEd</f>
        <v>0</v>
      </c>
      <c r="N10" s="111"/>
      <c r="O10" s="27">
        <v>6</v>
      </c>
      <c r="P10" s="85"/>
      <c r="Q10" s="85"/>
      <c r="R10" s="219"/>
      <c r="S10" s="219"/>
      <c r="T10" s="85"/>
      <c r="U10" s="85"/>
      <c r="V10" s="85"/>
      <c r="W10" s="85"/>
      <c r="X10" s="85"/>
    </row>
    <row r="11" spans="1:24" ht="12" customHeight="1">
      <c r="A11" s="116">
        <v>7</v>
      </c>
      <c r="B11" s="118" t="s">
        <v>185</v>
      </c>
      <c r="C11" s="117"/>
      <c r="D11" s="111">
        <f>[1]!FP1210TitleVI</f>
        <v>0</v>
      </c>
      <c r="E11" s="111"/>
      <c r="F11" s="27">
        <v>7</v>
      </c>
      <c r="G11" s="120">
        <v>7</v>
      </c>
      <c r="H11" s="117" t="s">
        <v>35</v>
      </c>
      <c r="I11" s="117"/>
      <c r="J11" s="117"/>
      <c r="K11" s="117"/>
      <c r="M11" s="111">
        <f>[1]!P200CareerEducation</f>
        <v>0</v>
      </c>
      <c r="N11" s="111"/>
      <c r="O11" s="27">
        <v>7</v>
      </c>
      <c r="P11" s="85"/>
      <c r="Q11" s="85"/>
      <c r="R11" s="219"/>
      <c r="S11" s="219"/>
      <c r="T11" s="85"/>
      <c r="U11" s="85"/>
      <c r="V11" s="85"/>
      <c r="W11" s="85"/>
      <c r="X11" s="85"/>
    </row>
    <row r="12" spans="1:24" ht="12" customHeight="1">
      <c r="A12" s="116">
        <v>8</v>
      </c>
      <c r="B12" s="117" t="s">
        <v>46</v>
      </c>
      <c r="C12" s="117"/>
      <c r="D12" s="111">
        <f>[1]!FP1220IDEA</f>
        <v>22928</v>
      </c>
      <c r="E12" s="111">
        <v>22902</v>
      </c>
      <c r="F12" s="27">
        <v>8</v>
      </c>
      <c r="G12" s="120">
        <v>8</v>
      </c>
      <c r="H12" s="216" t="s">
        <v>261</v>
      </c>
      <c r="I12" s="216"/>
      <c r="J12" s="233"/>
      <c r="K12" s="117"/>
      <c r="M12" s="235">
        <f>SUM(M5:M11)</f>
        <v>79788</v>
      </c>
      <c r="N12" s="235">
        <f>IF(SUM(N5:N11)=SUM('Page 1'!L37),SUM(N5:N11),"Invalid")</f>
        <v>73713</v>
      </c>
      <c r="O12" s="27">
        <v>8</v>
      </c>
      <c r="P12" s="85"/>
      <c r="Q12" s="85"/>
      <c r="R12" s="219"/>
      <c r="S12" s="219"/>
      <c r="T12" s="85"/>
      <c r="U12" s="85"/>
      <c r="V12" s="85"/>
      <c r="W12" s="85"/>
      <c r="X12" s="85"/>
    </row>
    <row r="13" spans="1:24" ht="12" customHeight="1">
      <c r="A13" s="116">
        <v>9</v>
      </c>
      <c r="B13" s="117" t="s">
        <v>47</v>
      </c>
      <c r="C13" s="117"/>
      <c r="D13" s="111">
        <f>[1]!FP1230Johnson</f>
        <v>0</v>
      </c>
      <c r="E13" s="111"/>
      <c r="F13" s="27">
        <v>9</v>
      </c>
      <c r="G13" s="120"/>
      <c r="H13" s="118"/>
      <c r="I13" s="117"/>
      <c r="J13" s="117"/>
      <c r="K13" s="117"/>
      <c r="M13" s="123"/>
      <c r="N13" s="123"/>
      <c r="O13" s="27"/>
      <c r="P13" s="85"/>
      <c r="Q13" s="85"/>
      <c r="R13" s="219"/>
      <c r="S13" s="219"/>
      <c r="T13" s="85"/>
      <c r="U13" s="85"/>
      <c r="V13" s="85"/>
      <c r="W13" s="85"/>
      <c r="X13" s="85"/>
    </row>
    <row r="14" spans="1:24" ht="12" customHeight="1">
      <c r="A14" s="116">
        <v>10</v>
      </c>
      <c r="B14" s="117" t="s">
        <v>131</v>
      </c>
      <c r="C14" s="117"/>
      <c r="D14" s="111">
        <f>[1]!FP1240WIA</f>
        <v>0</v>
      </c>
      <c r="E14" s="111"/>
      <c r="F14" s="27">
        <v>10</v>
      </c>
      <c r="G14" s="120"/>
      <c r="H14" s="211" t="s">
        <v>173</v>
      </c>
      <c r="I14" s="204"/>
      <c r="J14" s="204"/>
      <c r="K14" s="204"/>
      <c r="L14" s="204"/>
      <c r="M14" s="123"/>
      <c r="N14" s="123"/>
      <c r="O14" s="27"/>
      <c r="P14" s="85"/>
      <c r="Q14" s="85"/>
      <c r="R14" s="219"/>
      <c r="S14" s="219"/>
      <c r="T14" s="85"/>
      <c r="U14" s="85"/>
      <c r="V14" s="85"/>
      <c r="W14" s="85"/>
      <c r="X14" s="85"/>
    </row>
    <row r="15" spans="1:24" ht="12" customHeight="1">
      <c r="A15" s="116">
        <v>11</v>
      </c>
      <c r="B15" s="118" t="s">
        <v>186</v>
      </c>
      <c r="C15" s="117"/>
      <c r="D15" s="111">
        <f>[1]!FP1250AEA</f>
        <v>0</v>
      </c>
      <c r="E15" s="111"/>
      <c r="F15" s="27">
        <v>11</v>
      </c>
      <c r="G15" s="120"/>
      <c r="H15" s="121" t="s">
        <v>134</v>
      </c>
      <c r="I15" s="12"/>
      <c r="M15" s="231"/>
      <c r="N15" s="230"/>
      <c r="O15" s="27"/>
      <c r="P15" s="85"/>
      <c r="Q15" s="85"/>
      <c r="R15" s="219"/>
      <c r="S15" s="219"/>
      <c r="T15" s="85"/>
      <c r="U15" s="85"/>
      <c r="V15" s="85"/>
      <c r="W15" s="85"/>
      <c r="X15" s="85"/>
    </row>
    <row r="16" spans="1:24" ht="12" customHeight="1">
      <c r="A16" s="116">
        <v>12</v>
      </c>
      <c r="B16" s="118" t="s">
        <v>187</v>
      </c>
      <c r="C16" s="117"/>
      <c r="D16" s="111">
        <f>[1]!FP12601270VocEd</f>
        <v>0</v>
      </c>
      <c r="E16" s="111"/>
      <c r="F16" s="27">
        <v>12</v>
      </c>
      <c r="G16" s="120"/>
      <c r="H16" s="117"/>
      <c r="I16" s="117"/>
      <c r="J16" s="117"/>
      <c r="K16" s="117"/>
      <c r="M16" s="596" t="s">
        <v>499</v>
      </c>
      <c r="N16" s="596" t="s">
        <v>495</v>
      </c>
      <c r="O16" s="27"/>
      <c r="P16" s="85"/>
      <c r="Q16" s="85"/>
      <c r="R16" s="219"/>
      <c r="S16" s="219"/>
      <c r="T16" s="85"/>
      <c r="U16" s="85"/>
      <c r="V16" s="85"/>
      <c r="W16" s="85"/>
      <c r="X16" s="85"/>
    </row>
    <row r="17" spans="1:24" ht="12" customHeight="1">
      <c r="A17" s="116">
        <v>13</v>
      </c>
      <c r="B17" s="118" t="s">
        <v>188</v>
      </c>
      <c r="C17" s="117"/>
      <c r="D17" s="111">
        <f>[1]!FP1280TitleX</f>
        <v>0</v>
      </c>
      <c r="E17" s="111"/>
      <c r="F17" s="27">
        <v>13</v>
      </c>
      <c r="G17" s="120"/>
      <c r="H17" s="117"/>
      <c r="I17" s="117"/>
      <c r="J17" s="117"/>
      <c r="K17" s="117"/>
      <c r="M17" s="596"/>
      <c r="N17" s="596"/>
      <c r="O17" s="27"/>
      <c r="P17" s="85"/>
      <c r="Q17" s="85"/>
      <c r="R17" s="219"/>
      <c r="S17" s="219"/>
      <c r="T17" s="85"/>
      <c r="U17" s="85"/>
      <c r="V17" s="85"/>
      <c r="W17" s="85"/>
      <c r="X17" s="85"/>
    </row>
    <row r="18" spans="1:24" ht="12" customHeight="1">
      <c r="A18" s="116">
        <v>14</v>
      </c>
      <c r="B18" s="118" t="s">
        <v>66</v>
      </c>
      <c r="C18" s="117"/>
      <c r="D18" s="111">
        <f>[1]!FP1290Medicaid</f>
        <v>0</v>
      </c>
      <c r="E18" s="111"/>
      <c r="F18" s="27">
        <v>14</v>
      </c>
      <c r="G18" s="116" t="s">
        <v>43</v>
      </c>
      <c r="H18" s="121" t="s">
        <v>132</v>
      </c>
      <c r="I18" s="121"/>
      <c r="J18" s="117"/>
      <c r="K18" s="117"/>
      <c r="M18" s="112">
        <f>[1]!IIPTeacherCompensationIncreases</f>
        <v>0</v>
      </c>
      <c r="N18" s="112"/>
      <c r="O18" s="116" t="s">
        <v>43</v>
      </c>
      <c r="P18" s="85"/>
      <c r="Q18" s="85"/>
      <c r="R18" s="219"/>
      <c r="S18" s="219"/>
      <c r="T18" s="85"/>
      <c r="U18" s="85"/>
      <c r="V18" s="85"/>
      <c r="W18" s="85"/>
      <c r="X18" s="85"/>
    </row>
    <row r="19" spans="1:24" ht="12" customHeight="1">
      <c r="A19" s="116">
        <v>15</v>
      </c>
      <c r="B19" s="117" t="s">
        <v>74</v>
      </c>
      <c r="C19" s="117"/>
      <c r="D19" s="112">
        <f>[1]!FP1300Charter</f>
        <v>0</v>
      </c>
      <c r="E19" s="112"/>
      <c r="F19" s="27">
        <v>15</v>
      </c>
      <c r="G19" s="116" t="s">
        <v>44</v>
      </c>
      <c r="H19" s="122" t="s">
        <v>133</v>
      </c>
      <c r="I19" s="122"/>
      <c r="J19" s="229"/>
      <c r="M19" s="112">
        <f>[1]!IIPClassSizeReduction</f>
        <v>9506</v>
      </c>
      <c r="N19" s="112">
        <v>9662</v>
      </c>
      <c r="O19" s="116" t="s">
        <v>44</v>
      </c>
      <c r="P19" s="85"/>
      <c r="Q19" s="85"/>
      <c r="R19" s="219"/>
      <c r="S19" s="219"/>
      <c r="T19" s="85"/>
      <c r="U19" s="85"/>
      <c r="V19" s="85"/>
      <c r="W19" s="85"/>
      <c r="X19" s="85"/>
    </row>
    <row r="20" spans="1:24" ht="12" customHeight="1">
      <c r="A20" s="116">
        <v>16</v>
      </c>
      <c r="B20" s="118" t="s">
        <v>249</v>
      </c>
      <c r="C20" s="117"/>
      <c r="D20" s="227">
        <f>[1]!FP13__ImpactAid</f>
        <v>0</v>
      </c>
      <c r="E20" s="227"/>
      <c r="F20" s="27">
        <v>16</v>
      </c>
      <c r="G20" s="116" t="s">
        <v>105</v>
      </c>
      <c r="H20" s="216" t="s">
        <v>230</v>
      </c>
      <c r="I20" s="216"/>
      <c r="J20" s="233"/>
      <c r="K20" s="234"/>
      <c r="M20" s="112">
        <f>[1]!IIPDropoutPreventionPrograms</f>
        <v>0</v>
      </c>
      <c r="N20" s="112"/>
      <c r="O20" s="116" t="s">
        <v>105</v>
      </c>
      <c r="P20" s="85"/>
      <c r="Q20" s="85"/>
      <c r="R20" s="219"/>
      <c r="S20" s="219"/>
      <c r="T20" s="85"/>
      <c r="U20" s="85"/>
      <c r="V20" s="85"/>
      <c r="W20" s="85"/>
      <c r="X20" s="85"/>
    </row>
    <row r="21" spans="1:24" ht="12" customHeight="1" thickBot="1">
      <c r="A21" s="116">
        <v>17</v>
      </c>
      <c r="B21" s="117" t="s">
        <v>70</v>
      </c>
      <c r="C21" s="117"/>
      <c r="D21" s="113">
        <f>[1]!FP13101399Other</f>
        <v>0</v>
      </c>
      <c r="E21" s="113"/>
      <c r="F21" s="27">
        <v>17</v>
      </c>
      <c r="G21" s="116" t="s">
        <v>106</v>
      </c>
      <c r="H21" s="216" t="s">
        <v>231</v>
      </c>
      <c r="I21" s="216"/>
      <c r="J21" s="233"/>
      <c r="K21" s="234"/>
      <c r="M21" s="113">
        <f>[1]!IIPInstructionalImprovementPrograms</f>
        <v>0</v>
      </c>
      <c r="N21" s="113"/>
      <c r="O21" s="116" t="s">
        <v>106</v>
      </c>
      <c r="P21" s="85"/>
      <c r="Q21" s="85"/>
      <c r="R21" s="219"/>
      <c r="S21" s="219"/>
      <c r="T21" s="85"/>
      <c r="U21" s="85"/>
      <c r="V21" s="85"/>
      <c r="W21" s="85"/>
      <c r="X21" s="85"/>
    </row>
    <row r="22" spans="1:24" ht="12" customHeight="1" thickBot="1">
      <c r="A22" s="116">
        <v>18</v>
      </c>
      <c r="B22" s="118" t="s">
        <v>248</v>
      </c>
      <c r="C22" s="117"/>
      <c r="D22" s="115">
        <f>SUM(D5:D21)</f>
        <v>22928</v>
      </c>
      <c r="E22" s="115">
        <f>SUM(E5:E21)</f>
        <v>22902</v>
      </c>
      <c r="F22" s="27">
        <v>18</v>
      </c>
      <c r="G22" s="116" t="s">
        <v>107</v>
      </c>
      <c r="H22" s="121" t="s">
        <v>135</v>
      </c>
      <c r="I22" s="121"/>
      <c r="J22" s="117"/>
      <c r="K22" s="117"/>
      <c r="M22" s="115">
        <f>SUM(M18:M21)</f>
        <v>9506</v>
      </c>
      <c r="N22" s="115">
        <f>SUM(N18:N21)</f>
        <v>9662</v>
      </c>
      <c r="O22" s="116" t="s">
        <v>107</v>
      </c>
      <c r="P22" s="85"/>
      <c r="Q22" s="85"/>
      <c r="R22" s="219"/>
      <c r="S22" s="219"/>
      <c r="T22" s="85"/>
      <c r="U22" s="85"/>
      <c r="V22" s="85"/>
      <c r="W22" s="85"/>
      <c r="X22" s="85"/>
    </row>
    <row r="23" spans="1:24" ht="12" customHeight="1" thickTop="1">
      <c r="A23" s="119" t="s">
        <v>32</v>
      </c>
      <c r="B23" s="117"/>
      <c r="C23" s="117"/>
      <c r="D23" s="143"/>
      <c r="E23" s="144"/>
      <c r="F23" s="27"/>
      <c r="K23" s="232"/>
      <c r="P23" s="85"/>
      <c r="Q23" s="85"/>
      <c r="R23" s="219"/>
      <c r="S23" s="219"/>
      <c r="T23" s="85"/>
      <c r="U23" s="85"/>
      <c r="V23" s="85"/>
      <c r="W23" s="85"/>
      <c r="X23" s="85"/>
    </row>
    <row r="24" spans="1:24" ht="12" customHeight="1">
      <c r="A24" s="116">
        <v>19</v>
      </c>
      <c r="B24" s="117" t="s">
        <v>48</v>
      </c>
      <c r="C24" s="117"/>
      <c r="D24" s="22">
        <f>[1]!SP1400VocEd</f>
        <v>0</v>
      </c>
      <c r="E24" s="22"/>
      <c r="F24" s="27">
        <v>19</v>
      </c>
      <c r="H24" s="86" t="s">
        <v>57</v>
      </c>
      <c r="I24" s="29"/>
      <c r="J24" s="29"/>
      <c r="L24" s="211" t="s">
        <v>59</v>
      </c>
      <c r="M24" s="204"/>
      <c r="N24" s="204"/>
      <c r="O24" s="204"/>
      <c r="P24" s="85"/>
      <c r="Q24" s="85"/>
      <c r="R24" s="219"/>
      <c r="S24" s="219"/>
      <c r="T24" s="85"/>
      <c r="U24" s="85"/>
      <c r="V24" s="85"/>
      <c r="W24" s="85"/>
      <c r="X24" s="85"/>
    </row>
    <row r="25" spans="1:24" ht="12" customHeight="1">
      <c r="A25" s="116">
        <v>20</v>
      </c>
      <c r="B25" s="117" t="s">
        <v>67</v>
      </c>
      <c r="C25" s="117"/>
      <c r="D25" s="111">
        <f>[1]!SP1410EarlyChildhoodBlockGrant</f>
        <v>0</v>
      </c>
      <c r="E25" s="111"/>
      <c r="F25" s="27">
        <v>20</v>
      </c>
      <c r="H25" s="86" t="s">
        <v>58</v>
      </c>
      <c r="I25" s="29"/>
      <c r="J25" s="29"/>
      <c r="L25" s="29" t="s">
        <v>39</v>
      </c>
      <c r="M25" s="29"/>
      <c r="N25" s="29"/>
      <c r="P25" s="85"/>
      <c r="Q25" s="85"/>
      <c r="R25" s="219"/>
      <c r="S25" s="219"/>
      <c r="T25" s="85"/>
      <c r="U25" s="85"/>
      <c r="V25" s="85"/>
      <c r="W25" s="85"/>
      <c r="X25" s="85"/>
    </row>
    <row r="26" spans="1:24" ht="12" customHeight="1">
      <c r="A26" s="116">
        <v>21</v>
      </c>
      <c r="B26" s="118" t="s">
        <v>189</v>
      </c>
      <c r="C26" s="117"/>
      <c r="D26" s="111">
        <f>[1]!FP1420ExtendedSchool</f>
        <v>0</v>
      </c>
      <c r="E26" s="111"/>
      <c r="F26" s="27">
        <v>21</v>
      </c>
      <c r="H26" t="s">
        <v>36</v>
      </c>
      <c r="I26" s="36" t="s">
        <v>37</v>
      </c>
      <c r="J26" s="89">
        <v>18</v>
      </c>
      <c r="L26" s="43" t="s">
        <v>40</v>
      </c>
      <c r="N26" s="23">
        <v>8500</v>
      </c>
      <c r="P26" s="85"/>
      <c r="Q26" s="85"/>
      <c r="R26" s="219"/>
      <c r="S26" s="219"/>
      <c r="T26" s="85"/>
      <c r="U26" s="85"/>
      <c r="V26" s="85"/>
      <c r="W26" s="85"/>
      <c r="X26" s="85"/>
    </row>
    <row r="27" spans="1:24" ht="12" customHeight="1">
      <c r="A27" s="116">
        <v>22</v>
      </c>
      <c r="B27" s="117" t="s">
        <v>49</v>
      </c>
      <c r="C27" s="117"/>
      <c r="D27" s="111">
        <f>[1]!SP1425AdultBasicEd</f>
        <v>0</v>
      </c>
      <c r="E27" s="111"/>
      <c r="F27" s="27">
        <v>22</v>
      </c>
      <c r="G27" s="217"/>
      <c r="H27" t="s">
        <v>38</v>
      </c>
      <c r="I27" s="36" t="s">
        <v>37</v>
      </c>
      <c r="J27" s="243">
        <v>13</v>
      </c>
      <c r="K27" s="117"/>
      <c r="L27" s="107" t="s">
        <v>41</v>
      </c>
      <c r="N27" s="23"/>
      <c r="O27" s="27"/>
      <c r="P27" s="85"/>
      <c r="Q27" s="85"/>
      <c r="R27" s="219"/>
      <c r="S27" s="219"/>
      <c r="T27" s="85"/>
      <c r="U27" s="85"/>
      <c r="V27" s="85"/>
      <c r="W27" s="85"/>
      <c r="X27" s="85"/>
    </row>
    <row r="28" spans="1:24" ht="12" customHeight="1">
      <c r="A28" s="116">
        <v>23</v>
      </c>
      <c r="B28" s="117" t="s">
        <v>50</v>
      </c>
      <c r="C28" s="117"/>
      <c r="D28" s="111">
        <f>[1]!SP1430ChemicalAbuse</f>
        <v>0</v>
      </c>
      <c r="E28" s="111"/>
      <c r="F28" s="27">
        <v>23</v>
      </c>
      <c r="I28" s="36"/>
      <c r="J28" s="90"/>
      <c r="L28" s="107"/>
      <c r="N28" s="110"/>
      <c r="P28" s="85"/>
      <c r="Q28" s="85"/>
      <c r="R28" s="85"/>
      <c r="S28" s="85"/>
      <c r="T28" s="85"/>
      <c r="U28" s="85"/>
      <c r="V28" s="85"/>
      <c r="W28" s="85"/>
      <c r="X28" s="85"/>
    </row>
    <row r="29" spans="1:24" ht="12" customHeight="1">
      <c r="A29" s="116">
        <v>24</v>
      </c>
      <c r="B29" s="117" t="s">
        <v>51</v>
      </c>
      <c r="C29" s="117"/>
      <c r="D29" s="111">
        <f>[1]!SP1435AcademicContests</f>
        <v>0</v>
      </c>
      <c r="E29" s="111"/>
      <c r="F29" s="27">
        <v>24</v>
      </c>
      <c r="H29" s="212" t="s">
        <v>217</v>
      </c>
      <c r="I29" s="203"/>
      <c r="J29" s="203"/>
      <c r="K29" s="203"/>
      <c r="L29" s="203"/>
      <c r="M29" s="203"/>
      <c r="P29" s="85"/>
      <c r="Q29" s="85"/>
      <c r="R29" s="85"/>
      <c r="S29" s="85"/>
      <c r="T29" s="85"/>
      <c r="U29" s="85"/>
      <c r="V29" s="85"/>
      <c r="W29" s="85"/>
      <c r="X29" s="85"/>
    </row>
    <row r="30" spans="1:24" ht="12" customHeight="1">
      <c r="A30" s="116">
        <v>25</v>
      </c>
      <c r="B30" s="117" t="s">
        <v>153</v>
      </c>
      <c r="C30" s="117"/>
      <c r="D30" s="111">
        <f>[1]!SP1450GiftedEd</f>
        <v>0</v>
      </c>
      <c r="E30" s="111"/>
      <c r="F30" s="27">
        <v>25</v>
      </c>
      <c r="H30" s="212" t="s">
        <v>218</v>
      </c>
      <c r="I30" s="203"/>
      <c r="J30" s="203"/>
      <c r="K30" s="203"/>
      <c r="L30" s="203"/>
      <c r="M30" s="203"/>
      <c r="O30" s="88"/>
      <c r="P30" s="85"/>
      <c r="Q30" s="85"/>
      <c r="R30" s="85"/>
      <c r="S30" s="85"/>
      <c r="T30" s="85"/>
      <c r="U30" s="85"/>
      <c r="V30" s="85"/>
      <c r="W30" s="85"/>
      <c r="X30" s="85"/>
    </row>
    <row r="31" spans="1:24" ht="12" customHeight="1">
      <c r="A31" s="116">
        <v>26</v>
      </c>
      <c r="B31" s="216" t="s">
        <v>274</v>
      </c>
      <c r="C31" s="216"/>
      <c r="D31" s="111">
        <f>'[1]Page 2'!$E$31</f>
        <v>0</v>
      </c>
      <c r="E31" s="111"/>
      <c r="F31" s="27">
        <v>26</v>
      </c>
      <c r="H31" s="118" t="s">
        <v>215</v>
      </c>
      <c r="K31" s="29"/>
      <c r="M31" s="244"/>
      <c r="O31" s="88"/>
      <c r="P31" s="85"/>
      <c r="Q31" s="85"/>
      <c r="R31" s="85"/>
      <c r="S31" s="85"/>
      <c r="T31" s="85"/>
      <c r="U31" s="85"/>
      <c r="V31" s="85"/>
      <c r="W31" s="85"/>
      <c r="X31" s="85"/>
    </row>
    <row r="32" spans="1:24" ht="12" customHeight="1">
      <c r="A32" s="116">
        <v>27</v>
      </c>
      <c r="B32" s="216" t="s">
        <v>275</v>
      </c>
      <c r="C32" s="216"/>
      <c r="D32" s="111">
        <f>'[1]Page 2'!$E$32</f>
        <v>0</v>
      </c>
      <c r="E32" s="111"/>
      <c r="F32" s="27">
        <v>27</v>
      </c>
      <c r="H32" s="118" t="s">
        <v>216</v>
      </c>
      <c r="M32" s="244"/>
      <c r="N32" s="23">
        <v>71471</v>
      </c>
      <c r="O32" s="88"/>
      <c r="P32" s="85"/>
      <c r="Q32" s="85"/>
      <c r="R32" s="85"/>
      <c r="S32" s="85"/>
      <c r="T32" s="85"/>
      <c r="U32" s="85"/>
      <c r="V32" s="85"/>
      <c r="W32" s="85"/>
      <c r="X32" s="85"/>
    </row>
    <row r="33" spans="1:24" ht="12" customHeight="1">
      <c r="A33" s="116">
        <v>28</v>
      </c>
      <c r="B33" s="117" t="s">
        <v>52</v>
      </c>
      <c r="C33" s="117"/>
      <c r="D33" s="111">
        <f>[1]!SP1460EnvironmentalSpecialPlate</f>
        <v>0</v>
      </c>
      <c r="E33" s="111"/>
      <c r="F33" s="27">
        <v>28</v>
      </c>
      <c r="H33" s="118"/>
      <c r="K33" s="29"/>
      <c r="P33" s="85"/>
      <c r="Q33" s="85"/>
      <c r="R33" s="85"/>
      <c r="S33" s="85"/>
      <c r="T33" s="85"/>
      <c r="U33" s="85"/>
      <c r="V33" s="85"/>
      <c r="W33" s="85"/>
      <c r="X33" s="85"/>
    </row>
    <row r="34" spans="1:24" ht="12" customHeight="1">
      <c r="A34" s="116">
        <v>29</v>
      </c>
      <c r="B34" s="117" t="s">
        <v>71</v>
      </c>
      <c r="C34" s="117"/>
      <c r="D34" s="111">
        <f>[1]!SP1465CharterSchool</f>
        <v>0</v>
      </c>
      <c r="E34" s="111"/>
      <c r="F34" s="27">
        <v>29</v>
      </c>
      <c r="H34" s="118"/>
      <c r="N34" s="110"/>
      <c r="P34" s="85"/>
      <c r="Q34" s="85"/>
      <c r="R34" s="85"/>
      <c r="S34" s="85"/>
      <c r="T34" s="85"/>
      <c r="U34" s="85"/>
      <c r="V34" s="85"/>
      <c r="W34" s="85"/>
      <c r="X34" s="85"/>
    </row>
    <row r="35" spans="1:24" ht="12" customHeight="1" thickBot="1">
      <c r="A35" s="116">
        <v>30</v>
      </c>
      <c r="B35" t="s">
        <v>72</v>
      </c>
      <c r="D35" s="111">
        <f>[1]!SP14701499Other</f>
        <v>0</v>
      </c>
      <c r="E35" s="111"/>
      <c r="F35" s="27">
        <v>30</v>
      </c>
      <c r="H35" s="249"/>
      <c r="I35" s="250"/>
      <c r="J35" s="249"/>
      <c r="K35" s="250"/>
      <c r="L35" s="249"/>
      <c r="M35" s="250"/>
      <c r="N35" s="251"/>
      <c r="P35" s="85"/>
      <c r="Q35" s="85"/>
      <c r="R35" s="85"/>
      <c r="S35" s="85"/>
      <c r="T35" s="85"/>
      <c r="U35" s="85"/>
      <c r="V35" s="85"/>
      <c r="W35" s="85"/>
      <c r="X35" s="85"/>
    </row>
    <row r="36" spans="1:24" ht="12" customHeight="1" thickBot="1">
      <c r="A36" s="116">
        <v>31</v>
      </c>
      <c r="B36" s="118" t="s">
        <v>278</v>
      </c>
      <c r="C36" s="117"/>
      <c r="D36" s="114">
        <f>SUM(D24:D35)</f>
        <v>0</v>
      </c>
      <c r="E36" s="114">
        <f>SUM(E23:E35)</f>
        <v>0</v>
      </c>
      <c r="F36" s="27">
        <v>31</v>
      </c>
      <c r="G36" s="116"/>
      <c r="H36" s="232"/>
      <c r="I36" s="232"/>
      <c r="J36" s="232"/>
      <c r="K36" s="232"/>
      <c r="L36" s="232"/>
      <c r="M36" s="232"/>
      <c r="N36" s="110"/>
      <c r="O36" s="116"/>
      <c r="P36" s="85"/>
      <c r="Q36" s="85"/>
      <c r="R36" s="85"/>
      <c r="S36" s="85"/>
      <c r="T36" s="85"/>
      <c r="U36" s="85"/>
      <c r="V36" s="85"/>
      <c r="W36" s="85"/>
      <c r="X36" s="85"/>
    </row>
    <row r="37" spans="1:24" ht="12" customHeight="1" thickBot="1" thickTop="1">
      <c r="A37" s="217">
        <v>32</v>
      </c>
      <c r="B37" s="118" t="s">
        <v>279</v>
      </c>
      <c r="C37" s="117"/>
      <c r="D37" s="115">
        <f>D22+D36</f>
        <v>22928</v>
      </c>
      <c r="E37" s="115">
        <f>E22+E36</f>
        <v>22902</v>
      </c>
      <c r="F37" s="27">
        <v>32</v>
      </c>
      <c r="G37" s="116"/>
      <c r="H37" s="232"/>
      <c r="I37" s="232"/>
      <c r="J37" s="232"/>
      <c r="K37" s="232"/>
      <c r="L37" s="232"/>
      <c r="M37" s="232"/>
      <c r="N37" s="110"/>
      <c r="O37" s="116"/>
      <c r="P37" s="85"/>
      <c r="Q37" s="85"/>
      <c r="R37" s="85"/>
      <c r="S37" s="85"/>
      <c r="T37" s="85"/>
      <c r="U37" s="85"/>
      <c r="V37" s="85"/>
      <c r="W37" s="85"/>
      <c r="X37" s="85"/>
    </row>
    <row r="38" spans="1:24" ht="12" customHeight="1" thickTop="1">
      <c r="A38" s="87"/>
      <c r="F38" s="27"/>
      <c r="G38" s="116"/>
      <c r="H38" s="232"/>
      <c r="I38" s="232"/>
      <c r="J38" s="117"/>
      <c r="K38" s="123"/>
      <c r="L38" s="232"/>
      <c r="M38" s="232"/>
      <c r="N38" s="110"/>
      <c r="O38" s="116"/>
      <c r="P38" s="85"/>
      <c r="Q38" s="85"/>
      <c r="R38" s="85"/>
      <c r="S38" s="85"/>
      <c r="T38" s="85"/>
      <c r="U38" s="85"/>
      <c r="V38" s="85"/>
      <c r="W38" s="85"/>
      <c r="X38" s="85"/>
    </row>
    <row r="39" spans="2:24" ht="13.5" customHeight="1">
      <c r="B39" s="218" t="s">
        <v>60</v>
      </c>
      <c r="C39" s="211"/>
      <c r="D39" s="106" t="s">
        <v>243</v>
      </c>
      <c r="E39" s="106" t="s">
        <v>55</v>
      </c>
      <c r="F39" s="27"/>
      <c r="G39" s="116"/>
      <c r="H39" s="232"/>
      <c r="I39" s="232"/>
      <c r="J39" s="117"/>
      <c r="K39" s="123"/>
      <c r="L39" s="232"/>
      <c r="M39" s="232"/>
      <c r="N39" s="110"/>
      <c r="O39" s="116"/>
      <c r="P39" s="85"/>
      <c r="Q39" s="85"/>
      <c r="R39" s="85"/>
      <c r="S39" s="85"/>
      <c r="T39" s="85"/>
      <c r="U39" s="85"/>
      <c r="V39" s="85"/>
      <c r="W39" s="85"/>
      <c r="X39" s="85"/>
    </row>
    <row r="40" spans="1:24" ht="12.75">
      <c r="A40" s="120">
        <v>1</v>
      </c>
      <c r="B40" s="117" t="s">
        <v>170</v>
      </c>
      <c r="D40" s="22">
        <f>[1]!CA0191Land</f>
        <v>0</v>
      </c>
      <c r="E40" s="23"/>
      <c r="F40" s="27">
        <v>1</v>
      </c>
      <c r="G40" s="116"/>
      <c r="N40" s="110"/>
      <c r="O40" s="116"/>
      <c r="P40" s="85"/>
      <c r="Q40" s="85"/>
      <c r="R40" s="85"/>
      <c r="S40" s="85"/>
      <c r="T40" s="85"/>
      <c r="U40" s="85"/>
      <c r="V40" s="85"/>
      <c r="W40" s="85"/>
      <c r="X40" s="85"/>
    </row>
    <row r="41" spans="1:24" ht="12" customHeight="1">
      <c r="A41" s="120">
        <v>2</v>
      </c>
      <c r="B41" s="117" t="s">
        <v>154</v>
      </c>
      <c r="D41" s="22">
        <f>[1]!CA0192SiteImprovements</f>
        <v>0</v>
      </c>
      <c r="E41" s="22"/>
      <c r="F41" s="27">
        <v>2</v>
      </c>
      <c r="G41" s="116"/>
      <c r="H41" s="232"/>
      <c r="I41" s="232"/>
      <c r="J41" s="117"/>
      <c r="K41" s="123"/>
      <c r="L41" s="232"/>
      <c r="M41" s="232"/>
      <c r="N41" s="110"/>
      <c r="O41" s="116"/>
      <c r="P41" s="85"/>
      <c r="Q41" s="85"/>
      <c r="R41" s="85"/>
      <c r="S41" s="85"/>
      <c r="T41" s="85"/>
      <c r="U41" s="85"/>
      <c r="V41" s="85"/>
      <c r="W41" s="85"/>
      <c r="X41" s="85"/>
    </row>
    <row r="42" spans="1:16" ht="12" customHeight="1">
      <c r="A42" s="120">
        <v>3</v>
      </c>
      <c r="B42" s="117" t="s">
        <v>155</v>
      </c>
      <c r="D42" s="22">
        <f>[1]!CA0194Buildings</f>
        <v>0</v>
      </c>
      <c r="E42" s="22"/>
      <c r="F42" s="27">
        <v>3</v>
      </c>
      <c r="G42" s="245"/>
      <c r="H42" s="232"/>
      <c r="I42" s="232"/>
      <c r="J42" s="117"/>
      <c r="K42" s="123"/>
      <c r="L42" s="232"/>
      <c r="M42" s="232"/>
      <c r="N42" s="110"/>
      <c r="O42" s="245"/>
      <c r="P42" s="85"/>
    </row>
    <row r="43" spans="1:15" ht="12" customHeight="1">
      <c r="A43" s="120">
        <v>4</v>
      </c>
      <c r="B43" s="117" t="s">
        <v>156</v>
      </c>
      <c r="D43" s="22">
        <f>[1]!CA0196Equipment</f>
        <v>0</v>
      </c>
      <c r="E43" s="22"/>
      <c r="F43" s="27">
        <v>4</v>
      </c>
      <c r="G43" s="245"/>
      <c r="H43" s="232"/>
      <c r="I43" s="232"/>
      <c r="J43" s="117"/>
      <c r="K43" s="123"/>
      <c r="L43" s="232"/>
      <c r="M43" s="232"/>
      <c r="N43" s="110"/>
      <c r="O43" s="245"/>
    </row>
    <row r="44" spans="1:15" ht="12" customHeight="1" thickBot="1">
      <c r="A44" s="120">
        <v>5</v>
      </c>
      <c r="B44" s="117" t="s">
        <v>157</v>
      </c>
      <c r="D44" s="91">
        <f>[1]!CA0198CIP</f>
        <v>0</v>
      </c>
      <c r="E44" s="91"/>
      <c r="F44" s="27">
        <v>5</v>
      </c>
      <c r="G44" s="245"/>
      <c r="H44" s="85"/>
      <c r="N44" s="123"/>
      <c r="O44" s="245"/>
    </row>
    <row r="45" spans="1:14" ht="12" customHeight="1" thickBot="1">
      <c r="A45" s="217">
        <v>6</v>
      </c>
      <c r="B45" s="117" t="s">
        <v>158</v>
      </c>
      <c r="D45" s="115">
        <f>SUM(D40:D44)</f>
        <v>0</v>
      </c>
      <c r="E45" s="115">
        <f>SUM(E40:E44)</f>
        <v>0</v>
      </c>
      <c r="F45" s="27">
        <v>6</v>
      </c>
      <c r="H45" s="85"/>
      <c r="N45" s="110"/>
    </row>
    <row r="46" ht="6" customHeight="1" thickTop="1"/>
    <row r="47" spans="1:14" ht="27" customHeight="1">
      <c r="A47" s="183">
        <v>7</v>
      </c>
      <c r="B47" s="594" t="s">
        <v>214</v>
      </c>
      <c r="C47" s="595"/>
      <c r="D47" s="23">
        <f>[1]!CAK3Reading</f>
        <v>0</v>
      </c>
      <c r="E47" s="23"/>
      <c r="F47" s="27">
        <v>7</v>
      </c>
      <c r="N47" s="110"/>
    </row>
    <row r="48" ht="12" customHeight="1"/>
    <row r="51" ht="12.75" customHeight="1">
      <c r="I51" s="13"/>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horizontalDpi="600" verticalDpi="600" orientation="landscape" paperSize="5" scale="75" r:id="rId4"/>
  <headerFooter>
    <oddFooter>&amp;L&amp;"Arial,Bold"Rev. 5/19 Arizona Department of Education and Auditor General&amp;R&amp;"Arial,Bold"Page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1">
      <selection activeCell="G47" sqref="G47"/>
    </sheetView>
  </sheetViews>
  <sheetFormatPr defaultColWidth="9.140625" defaultRowHeight="12.75" customHeight="1"/>
  <cols>
    <col min="1" max="1" width="1.57421875" style="12" customWidth="1"/>
    <col min="2" max="2" width="1.7109375" style="12" customWidth="1"/>
    <col min="3" max="3" width="14.7109375" style="12" customWidth="1"/>
    <col min="4" max="4" width="52.421875" style="12" customWidth="1"/>
    <col min="5" max="5" width="3.7109375" style="12" customWidth="1"/>
    <col min="6" max="12" width="15.421875" style="12" customWidth="1"/>
    <col min="13" max="13" width="3.7109375" style="12" customWidth="1"/>
    <col min="14" max="15" width="13.7109375" style="12" customWidth="1"/>
    <col min="16" max="16" width="3.8515625" style="12" customWidth="1"/>
    <col min="17" max="16384" width="9.140625" style="12" customWidth="1"/>
  </cols>
  <sheetData>
    <row r="1" spans="1:13" ht="12.75" customHeight="1">
      <c r="A1" s="12" t="s">
        <v>0</v>
      </c>
      <c r="D1" s="47" t="str">
        <f>Cover!D1</f>
        <v>Scottsdale Country Day School</v>
      </c>
      <c r="E1" s="13"/>
      <c r="F1" s="39" t="s">
        <v>53</v>
      </c>
      <c r="G1" s="31" t="str">
        <f>Cover!M1</f>
        <v>Maricopa</v>
      </c>
      <c r="H1" s="77"/>
      <c r="I1" s="77"/>
      <c r="J1" s="77"/>
      <c r="K1" s="39" t="s">
        <v>89</v>
      </c>
      <c r="L1" s="206" t="str">
        <f>Cover!R1</f>
        <v>078243000</v>
      </c>
      <c r="M1" s="77"/>
    </row>
    <row r="2" spans="1:11" ht="3" customHeight="1">
      <c r="A2" s="48"/>
      <c r="B2" s="48"/>
      <c r="C2" s="48"/>
      <c r="D2" s="48"/>
      <c r="E2" s="48"/>
      <c r="F2" s="48"/>
      <c r="G2" s="48"/>
      <c r="H2" s="48"/>
      <c r="I2" s="48"/>
      <c r="J2" s="48"/>
      <c r="K2" s="48"/>
    </row>
    <row r="3" spans="1:11" ht="10.5" customHeight="1">
      <c r="A3" s="48"/>
      <c r="B3" s="48"/>
      <c r="C3" s="48"/>
      <c r="D3" s="48"/>
      <c r="E3" s="48"/>
      <c r="F3" s="48"/>
      <c r="G3" s="48"/>
      <c r="H3" s="48"/>
      <c r="I3" s="48"/>
      <c r="J3" s="48"/>
      <c r="K3" s="48"/>
    </row>
    <row r="4" spans="1:12" ht="10.5" customHeight="1">
      <c r="A4" s="78"/>
      <c r="B4" s="79"/>
      <c r="C4" s="79"/>
      <c r="D4" s="599"/>
      <c r="E4" s="53"/>
      <c r="F4" s="80"/>
      <c r="G4" s="73" t="s">
        <v>94</v>
      </c>
      <c r="H4" s="125" t="s">
        <v>14</v>
      </c>
      <c r="I4" s="55"/>
      <c r="J4" s="597" t="s">
        <v>61</v>
      </c>
      <c r="K4" s="598"/>
      <c r="L4" s="55" t="s">
        <v>63</v>
      </c>
    </row>
    <row r="5" spans="1:12" ht="10.5" customHeight="1">
      <c r="A5" s="4" t="s">
        <v>92</v>
      </c>
      <c r="D5" s="589"/>
      <c r="E5" s="58"/>
      <c r="F5" s="61" t="s">
        <v>15</v>
      </c>
      <c r="G5" s="74" t="s">
        <v>16</v>
      </c>
      <c r="H5" s="124" t="s">
        <v>17</v>
      </c>
      <c r="I5" s="61" t="s">
        <v>18</v>
      </c>
      <c r="J5" s="222" t="s">
        <v>243</v>
      </c>
      <c r="K5" s="222" t="s">
        <v>55</v>
      </c>
      <c r="L5" s="61" t="s">
        <v>64</v>
      </c>
    </row>
    <row r="6" spans="1:12" ht="10.5" customHeight="1">
      <c r="A6" s="71"/>
      <c r="B6" s="26"/>
      <c r="C6" s="26"/>
      <c r="D6" s="26"/>
      <c r="E6" s="75"/>
      <c r="F6" s="64">
        <v>6100</v>
      </c>
      <c r="G6" s="76">
        <v>6200</v>
      </c>
      <c r="H6" s="124" t="s">
        <v>250</v>
      </c>
      <c r="I6" s="61">
        <v>6600</v>
      </c>
      <c r="J6" s="222">
        <v>2019</v>
      </c>
      <c r="K6" s="222">
        <v>2020</v>
      </c>
      <c r="L6" s="61" t="s">
        <v>65</v>
      </c>
    </row>
    <row r="7" spans="1:14" ht="10.5" customHeight="1">
      <c r="A7" s="213" t="s">
        <v>91</v>
      </c>
      <c r="B7" s="202"/>
      <c r="C7" s="202"/>
      <c r="D7" s="202"/>
      <c r="F7" s="97"/>
      <c r="G7" s="99"/>
      <c r="H7" s="237"/>
      <c r="I7" s="237"/>
      <c r="J7" s="523"/>
      <c r="K7" s="99"/>
      <c r="L7" s="54"/>
      <c r="M7" s="14"/>
      <c r="N7" s="81"/>
    </row>
    <row r="8" spans="1:14" ht="10.5" customHeight="1">
      <c r="A8" s="65"/>
      <c r="B8" s="12" t="s">
        <v>21</v>
      </c>
      <c r="E8" s="3"/>
      <c r="F8" s="127"/>
      <c r="G8" s="133"/>
      <c r="H8" s="228"/>
      <c r="I8" s="228"/>
      <c r="J8" s="524"/>
      <c r="K8" s="133"/>
      <c r="L8" s="126"/>
      <c r="M8" s="14"/>
      <c r="N8" s="81"/>
    </row>
    <row r="9" spans="1:14" ht="10.5" customHeight="1">
      <c r="A9" s="65"/>
      <c r="C9" s="12" t="s">
        <v>22</v>
      </c>
      <c r="D9" s="198"/>
      <c r="E9" s="3">
        <v>1</v>
      </c>
      <c r="F9" s="20">
        <v>14206</v>
      </c>
      <c r="G9" s="130">
        <v>2952</v>
      </c>
      <c r="H9" s="96"/>
      <c r="I9" s="96"/>
      <c r="J9" s="94">
        <f>[1]!CSP1011P100F1000</f>
        <v>17051</v>
      </c>
      <c r="K9" s="131">
        <f>SUM(F7:G9)</f>
        <v>17158</v>
      </c>
      <c r="L9" s="10">
        <f>IF(J9=0," ",(K9-J9)/J9)</f>
        <v>0.006</v>
      </c>
      <c r="M9" s="82" t="s">
        <v>43</v>
      </c>
      <c r="N9" s="81"/>
    </row>
    <row r="10" spans="1:14" ht="10.5" customHeight="1">
      <c r="A10" s="65"/>
      <c r="C10" s="12" t="s">
        <v>95</v>
      </c>
      <c r="E10" s="3">
        <v>2</v>
      </c>
      <c r="F10" s="20"/>
      <c r="G10" s="20"/>
      <c r="H10" s="96"/>
      <c r="I10" s="96"/>
      <c r="J10" s="20">
        <f>[1]!CSP1011P100F2100</f>
        <v>0</v>
      </c>
      <c r="K10" s="6">
        <f>SUM(F10:G10)</f>
        <v>0</v>
      </c>
      <c r="L10" s="10" t="str">
        <f>IF(J10=0," ",(K10-J10)/J10)</f>
        <v> </v>
      </c>
      <c r="M10" s="82" t="s">
        <v>44</v>
      </c>
      <c r="N10" s="81"/>
    </row>
    <row r="11" spans="1:14" ht="10.5" customHeight="1">
      <c r="A11" s="65"/>
      <c r="C11" s="12" t="s">
        <v>159</v>
      </c>
      <c r="E11" s="3">
        <v>3</v>
      </c>
      <c r="F11" s="20"/>
      <c r="G11" s="20"/>
      <c r="H11" s="96"/>
      <c r="I11" s="96"/>
      <c r="J11" s="20">
        <f>[1]!CSP1011P100F2200</f>
        <v>0</v>
      </c>
      <c r="K11" s="6">
        <f>SUM(F11:G11)</f>
        <v>0</v>
      </c>
      <c r="L11" s="10" t="str">
        <f>IF(J11=0," ",(K11-J11)/J11)</f>
        <v> </v>
      </c>
      <c r="M11" s="82" t="s">
        <v>105</v>
      </c>
      <c r="N11" s="81"/>
    </row>
    <row r="12" spans="1:13" ht="10.5" customHeight="1">
      <c r="A12" s="71"/>
      <c r="B12" s="26" t="s">
        <v>96</v>
      </c>
      <c r="C12" s="26"/>
      <c r="D12" s="26"/>
      <c r="E12" s="5">
        <v>4</v>
      </c>
      <c r="F12" s="6">
        <f>SUM(F7:F11)</f>
        <v>14206</v>
      </c>
      <c r="G12" s="6">
        <f>SUM(G7:G11)</f>
        <v>2952</v>
      </c>
      <c r="H12" s="238"/>
      <c r="I12" s="238"/>
      <c r="J12" s="127">
        <f>SUM(J8:J11)</f>
        <v>17051</v>
      </c>
      <c r="K12" s="127">
        <f>SUM(K8:K11)</f>
        <v>17158</v>
      </c>
      <c r="L12" s="126">
        <f>IF(J12=0," ",(K12-J12)/J12)</f>
        <v>0.006</v>
      </c>
      <c r="M12" s="83" t="s">
        <v>106</v>
      </c>
    </row>
    <row r="13" spans="1:14" ht="10.5" customHeight="1">
      <c r="A13" s="65"/>
      <c r="B13" s="12" t="s">
        <v>28</v>
      </c>
      <c r="E13" s="3"/>
      <c r="F13" s="97"/>
      <c r="G13" s="99"/>
      <c r="H13" s="237"/>
      <c r="I13" s="237"/>
      <c r="J13" s="523"/>
      <c r="K13" s="99"/>
      <c r="L13" s="54"/>
      <c r="M13" s="82"/>
      <c r="N13" s="81"/>
    </row>
    <row r="14" spans="1:14" ht="10.5" customHeight="1">
      <c r="A14" s="65"/>
      <c r="C14" s="12" t="s">
        <v>22</v>
      </c>
      <c r="E14" s="3">
        <v>5</v>
      </c>
      <c r="F14" s="20"/>
      <c r="G14" s="130"/>
      <c r="H14" s="96"/>
      <c r="I14" s="96"/>
      <c r="J14" s="94">
        <f>[1]!CSP1011P200F1000</f>
        <v>0</v>
      </c>
      <c r="K14" s="131">
        <f>SUM(F13:G14)</f>
        <v>0</v>
      </c>
      <c r="L14" s="10" t="str">
        <f>IF(J14=0," ",(K14-J14)/J14)</f>
        <v> </v>
      </c>
      <c r="M14" s="82" t="s">
        <v>107</v>
      </c>
      <c r="N14" s="81"/>
    </row>
    <row r="15" spans="1:14" ht="10.5" customHeight="1">
      <c r="A15" s="65"/>
      <c r="C15" s="12" t="s">
        <v>95</v>
      </c>
      <c r="E15" s="3">
        <v>6</v>
      </c>
      <c r="F15" s="21"/>
      <c r="G15" s="21"/>
      <c r="H15" s="96"/>
      <c r="I15" s="96"/>
      <c r="J15" s="20">
        <f>[1]!CSP1011P200F2100</f>
        <v>0</v>
      </c>
      <c r="K15" s="6">
        <f>SUM(F15:G15)</f>
        <v>0</v>
      </c>
      <c r="L15" s="10" t="str">
        <f>IF(J15=0," ",(K15-J15)/J15)</f>
        <v> </v>
      </c>
      <c r="M15" s="82" t="s">
        <v>108</v>
      </c>
      <c r="N15" s="81"/>
    </row>
    <row r="16" spans="1:14" ht="10.5" customHeight="1">
      <c r="A16" s="65"/>
      <c r="C16" s="12" t="s">
        <v>159</v>
      </c>
      <c r="E16" s="3">
        <v>7</v>
      </c>
      <c r="F16" s="21"/>
      <c r="G16" s="21"/>
      <c r="H16" s="96"/>
      <c r="I16" s="96"/>
      <c r="J16" s="21">
        <f>[1]!CSP1011P200F2200</f>
        <v>0</v>
      </c>
      <c r="K16" s="15">
        <f>SUM(F16:G16)</f>
        <v>0</v>
      </c>
      <c r="L16" s="10" t="str">
        <f>IF(J16=0," ",(K16-J16)/J16)</f>
        <v> </v>
      </c>
      <c r="M16" s="82" t="s">
        <v>109</v>
      </c>
      <c r="N16" s="81"/>
    </row>
    <row r="17" spans="1:14" ht="10.5" customHeight="1">
      <c r="A17" s="71"/>
      <c r="B17" s="26" t="s">
        <v>97</v>
      </c>
      <c r="C17" s="26"/>
      <c r="D17" s="26"/>
      <c r="E17" s="5">
        <v>8</v>
      </c>
      <c r="F17" s="15">
        <f>SUM(F13:F16)</f>
        <v>0</v>
      </c>
      <c r="G17" s="15">
        <f>SUM(G13:G16)</f>
        <v>0</v>
      </c>
      <c r="H17" s="228"/>
      <c r="I17" s="228"/>
      <c r="J17" s="97">
        <f>SUM(J14:J16)</f>
        <v>0</v>
      </c>
      <c r="K17" s="97">
        <f>SUM(K14:K16)</f>
        <v>0</v>
      </c>
      <c r="L17" s="126" t="str">
        <f>IF(J17=0," ",(K17-J17)/J17)</f>
        <v> </v>
      </c>
      <c r="M17" s="82" t="s">
        <v>110</v>
      </c>
      <c r="N17" s="81"/>
    </row>
    <row r="18" spans="1:13" ht="10.5" customHeight="1">
      <c r="A18" s="65"/>
      <c r="B18" s="84" t="s">
        <v>98</v>
      </c>
      <c r="E18" s="3"/>
      <c r="F18" s="97"/>
      <c r="G18" s="99"/>
      <c r="H18" s="237"/>
      <c r="I18" s="237"/>
      <c r="J18" s="523"/>
      <c r="K18" s="99"/>
      <c r="L18" s="54"/>
      <c r="M18" s="83"/>
    </row>
    <row r="19" spans="1:14" ht="10.5" customHeight="1">
      <c r="A19" s="65"/>
      <c r="C19" s="12" t="s">
        <v>22</v>
      </c>
      <c r="E19" s="3">
        <v>9</v>
      </c>
      <c r="F19" s="20"/>
      <c r="G19" s="130"/>
      <c r="H19" s="96"/>
      <c r="I19" s="96"/>
      <c r="J19" s="94">
        <f>[1]!CSP1011POtherF1000</f>
        <v>0</v>
      </c>
      <c r="K19" s="131">
        <f>SUM(F18:G19)</f>
        <v>0</v>
      </c>
      <c r="L19" s="10" t="str">
        <f>IF(J19=0," ",(K19-J19)/J19)</f>
        <v> </v>
      </c>
      <c r="M19" s="82" t="s">
        <v>111</v>
      </c>
      <c r="N19" s="81"/>
    </row>
    <row r="20" spans="1:14" ht="10.5" customHeight="1">
      <c r="A20" s="65"/>
      <c r="C20" s="12" t="s">
        <v>95</v>
      </c>
      <c r="E20" s="3">
        <v>10</v>
      </c>
      <c r="F20" s="21"/>
      <c r="G20" s="21"/>
      <c r="H20" s="96"/>
      <c r="I20" s="96"/>
      <c r="J20" s="20">
        <f>[1]!CSP1011POtherF2100</f>
        <v>0</v>
      </c>
      <c r="K20" s="6">
        <f>SUM(F20:G20)</f>
        <v>0</v>
      </c>
      <c r="L20" s="10" t="str">
        <f>IF(J20=0," ",(K20-J20)/J20)</f>
        <v> </v>
      </c>
      <c r="M20" s="82" t="s">
        <v>112</v>
      </c>
      <c r="N20" s="81"/>
    </row>
    <row r="21" spans="1:14" ht="10.5" customHeight="1">
      <c r="A21" s="65"/>
      <c r="C21" s="12" t="s">
        <v>159</v>
      </c>
      <c r="E21" s="3">
        <v>11</v>
      </c>
      <c r="F21" s="21"/>
      <c r="G21" s="21"/>
      <c r="H21" s="96"/>
      <c r="I21" s="96"/>
      <c r="J21" s="21">
        <f>[1]!CSP1011POtherF2200</f>
        <v>0</v>
      </c>
      <c r="K21" s="15">
        <f>SUM(F21:G21)</f>
        <v>0</v>
      </c>
      <c r="L21" s="10" t="str">
        <f>IF(J21=0," ",(K21-J21)/J21)</f>
        <v> </v>
      </c>
      <c r="M21" s="82" t="s">
        <v>113</v>
      </c>
      <c r="N21" s="81"/>
    </row>
    <row r="22" spans="1:14" ht="10.5" customHeight="1">
      <c r="A22" s="71"/>
      <c r="B22" s="26" t="s">
        <v>99</v>
      </c>
      <c r="C22" s="26"/>
      <c r="D22" s="26"/>
      <c r="E22" s="5">
        <v>12</v>
      </c>
      <c r="F22" s="15">
        <f>SUM(F18:F21)</f>
        <v>0</v>
      </c>
      <c r="G22" s="15">
        <f>SUM(G18:G21)</f>
        <v>0</v>
      </c>
      <c r="H22" s="96"/>
      <c r="I22" s="96"/>
      <c r="J22" s="15">
        <f>SUM(J19:J21)</f>
        <v>0</v>
      </c>
      <c r="K22" s="15">
        <f>SUM(K19:K21)</f>
        <v>0</v>
      </c>
      <c r="L22" s="10" t="str">
        <f>IF(J22=0," ",(K22-J22)/J22)</f>
        <v> </v>
      </c>
      <c r="M22" s="82" t="s">
        <v>114</v>
      </c>
      <c r="N22" s="81"/>
    </row>
    <row r="23" spans="1:14" ht="12.75" customHeight="1">
      <c r="A23" s="71" t="s">
        <v>100</v>
      </c>
      <c r="B23" s="26"/>
      <c r="C23" s="26"/>
      <c r="D23" s="26"/>
      <c r="E23" s="5">
        <v>13</v>
      </c>
      <c r="F23" s="15">
        <f>F12+F17+F22</f>
        <v>14206</v>
      </c>
      <c r="G23" s="15">
        <f>G12+G17+G22</f>
        <v>2952</v>
      </c>
      <c r="H23" s="228"/>
      <c r="I23" s="228"/>
      <c r="J23" s="15">
        <f>J12+J17+J22</f>
        <v>17051</v>
      </c>
      <c r="K23" s="15">
        <f>K12+K17+K22</f>
        <v>17158</v>
      </c>
      <c r="L23" s="10">
        <f>IF(J23=0," ",(K23-J23)/J23)</f>
        <v>0.006</v>
      </c>
      <c r="M23" s="82" t="s">
        <v>115</v>
      </c>
      <c r="N23" s="81"/>
    </row>
    <row r="24" spans="1:14" ht="10.5" customHeight="1">
      <c r="A24" s="213" t="s">
        <v>93</v>
      </c>
      <c r="B24" s="202"/>
      <c r="C24" s="202"/>
      <c r="D24" s="202"/>
      <c r="F24" s="127"/>
      <c r="G24" s="133"/>
      <c r="H24" s="239"/>
      <c r="I24" s="237"/>
      <c r="J24" s="523"/>
      <c r="K24" s="99"/>
      <c r="L24" s="54"/>
      <c r="M24" s="82"/>
      <c r="N24" s="81"/>
    </row>
    <row r="25" spans="1:14" ht="10.5" customHeight="1">
      <c r="A25" s="65"/>
      <c r="B25" s="12" t="s">
        <v>21</v>
      </c>
      <c r="E25" s="3"/>
      <c r="F25" s="127"/>
      <c r="G25" s="133"/>
      <c r="H25" s="240"/>
      <c r="I25" s="228"/>
      <c r="J25" s="524"/>
      <c r="K25" s="133"/>
      <c r="L25" s="126"/>
      <c r="M25" s="82"/>
      <c r="N25" s="81"/>
    </row>
    <row r="26" spans="1:14" ht="10.5" customHeight="1">
      <c r="A26" s="65"/>
      <c r="C26" s="12" t="s">
        <v>22</v>
      </c>
      <c r="E26" s="3">
        <v>14</v>
      </c>
      <c r="F26" s="20">
        <v>26870</v>
      </c>
      <c r="G26" s="130">
        <v>5584</v>
      </c>
      <c r="H26" s="241"/>
      <c r="I26" s="96"/>
      <c r="J26" s="94">
        <f>[1]!CSP1012P100F1000</f>
        <v>32024</v>
      </c>
      <c r="K26" s="131">
        <f>SUM(F24:G26)</f>
        <v>32454</v>
      </c>
      <c r="L26" s="10">
        <f>IF(J26=0," ",(K26-J26)/J26)</f>
        <v>0.013</v>
      </c>
      <c r="M26" s="82" t="s">
        <v>116</v>
      </c>
      <c r="N26" s="81"/>
    </row>
    <row r="27" spans="1:14" ht="10.5" customHeight="1">
      <c r="A27" s="65"/>
      <c r="C27" s="12" t="s">
        <v>95</v>
      </c>
      <c r="E27" s="3">
        <v>15</v>
      </c>
      <c r="F27" s="20"/>
      <c r="G27" s="20"/>
      <c r="H27" s="96"/>
      <c r="I27" s="96"/>
      <c r="J27" s="20">
        <f>[1]!CSP1012P100F2100</f>
        <v>0</v>
      </c>
      <c r="K27" s="6">
        <f>SUM(F27:G27)</f>
        <v>0</v>
      </c>
      <c r="L27" s="10" t="str">
        <f>IF(J27=0," ",(K27-J27)/J27)</f>
        <v> </v>
      </c>
      <c r="M27" s="82" t="s">
        <v>117</v>
      </c>
      <c r="N27" s="81"/>
    </row>
    <row r="28" spans="1:14" ht="10.5" customHeight="1">
      <c r="A28" s="65"/>
      <c r="C28" s="12" t="s">
        <v>159</v>
      </c>
      <c r="E28" s="3">
        <v>16</v>
      </c>
      <c r="F28" s="20"/>
      <c r="G28" s="20"/>
      <c r="H28" s="96"/>
      <c r="I28" s="96"/>
      <c r="J28" s="21">
        <f>[1]!CSP1012P100F2200</f>
        <v>0</v>
      </c>
      <c r="K28" s="15">
        <f>SUM(F28:G28)</f>
        <v>0</v>
      </c>
      <c r="L28" s="10" t="str">
        <f>IF(J28=0," ",(K28-J28)/J28)</f>
        <v> </v>
      </c>
      <c r="M28" s="82" t="s">
        <v>118</v>
      </c>
      <c r="N28" s="81"/>
    </row>
    <row r="29" spans="1:13" ht="10.5" customHeight="1">
      <c r="A29" s="71"/>
      <c r="B29" s="26" t="s">
        <v>101</v>
      </c>
      <c r="C29" s="26"/>
      <c r="D29" s="26"/>
      <c r="E29" s="5">
        <v>17</v>
      </c>
      <c r="F29" s="6">
        <f>SUM(F24:F28)</f>
        <v>26870</v>
      </c>
      <c r="G29" s="6">
        <f>SUM(G24:G28)</f>
        <v>5584</v>
      </c>
      <c r="H29" s="228"/>
      <c r="I29" s="228"/>
      <c r="J29" s="97">
        <f>SUM(J25:J28)</f>
        <v>32024</v>
      </c>
      <c r="K29" s="97">
        <f>SUM(K25:K28)</f>
        <v>32454</v>
      </c>
      <c r="L29" s="126">
        <f>IF(J29=0," ",(K29-J29)/J29)</f>
        <v>0.013</v>
      </c>
      <c r="M29" s="83" t="s">
        <v>119</v>
      </c>
    </row>
    <row r="30" spans="1:14" ht="10.5" customHeight="1">
      <c r="A30" s="65"/>
      <c r="B30" s="12" t="s">
        <v>28</v>
      </c>
      <c r="E30" s="3"/>
      <c r="F30" s="97"/>
      <c r="G30" s="99"/>
      <c r="H30" s="239"/>
      <c r="I30" s="237"/>
      <c r="J30" s="523"/>
      <c r="K30" s="99"/>
      <c r="L30" s="54"/>
      <c r="M30" s="82"/>
      <c r="N30" s="81"/>
    </row>
    <row r="31" spans="1:14" ht="10.5" customHeight="1">
      <c r="A31" s="65"/>
      <c r="C31" s="12" t="s">
        <v>22</v>
      </c>
      <c r="E31" s="3">
        <v>18</v>
      </c>
      <c r="F31" s="20"/>
      <c r="G31" s="130"/>
      <c r="H31" s="241"/>
      <c r="I31" s="96"/>
      <c r="J31" s="94">
        <f>[1]!CSP1012P200F1000</f>
        <v>0</v>
      </c>
      <c r="K31" s="131">
        <f>SUM(F30:G31)</f>
        <v>0</v>
      </c>
      <c r="L31" s="10" t="str">
        <f>IF(J31=0," ",(K31-J31)/J31)</f>
        <v> </v>
      </c>
      <c r="M31" s="82" t="s">
        <v>120</v>
      </c>
      <c r="N31" s="81"/>
    </row>
    <row r="32" spans="1:14" ht="10.5" customHeight="1">
      <c r="A32" s="65"/>
      <c r="C32" s="12" t="s">
        <v>95</v>
      </c>
      <c r="E32" s="3">
        <v>19</v>
      </c>
      <c r="F32" s="21"/>
      <c r="G32" s="21"/>
      <c r="H32" s="96"/>
      <c r="I32" s="96"/>
      <c r="J32" s="20">
        <f>[1]!CSP1012P200F2100</f>
        <v>0</v>
      </c>
      <c r="K32" s="6">
        <f>SUM(F32:G32)</f>
        <v>0</v>
      </c>
      <c r="L32" s="10" t="str">
        <f>IF(J32=0," ",(K32-J32)/J32)</f>
        <v> </v>
      </c>
      <c r="M32" s="82" t="s">
        <v>121</v>
      </c>
      <c r="N32" s="81"/>
    </row>
    <row r="33" spans="1:14" ht="10.5" customHeight="1">
      <c r="A33" s="65"/>
      <c r="C33" s="12" t="s">
        <v>159</v>
      </c>
      <c r="E33" s="3">
        <v>20</v>
      </c>
      <c r="F33" s="21"/>
      <c r="G33" s="21"/>
      <c r="H33" s="96"/>
      <c r="I33" s="96"/>
      <c r="J33" s="21">
        <f>[1]!CSP1012P200F2200</f>
        <v>0</v>
      </c>
      <c r="K33" s="15">
        <f>SUM(F33:G33)</f>
        <v>0</v>
      </c>
      <c r="L33" s="10" t="str">
        <f>IF(J33=0," ",(K33-J33)/J33)</f>
        <v> </v>
      </c>
      <c r="M33" s="82" t="s">
        <v>122</v>
      </c>
      <c r="N33" s="81"/>
    </row>
    <row r="34" spans="1:14" ht="10.5" customHeight="1">
      <c r="A34" s="71"/>
      <c r="B34" s="26" t="s">
        <v>102</v>
      </c>
      <c r="C34" s="26"/>
      <c r="D34" s="26"/>
      <c r="E34" s="5">
        <v>21</v>
      </c>
      <c r="F34" s="15">
        <f>SUM(F30:F33)</f>
        <v>0</v>
      </c>
      <c r="G34" s="15">
        <f>SUM(G30:G33)</f>
        <v>0</v>
      </c>
      <c r="H34" s="228"/>
      <c r="I34" s="228"/>
      <c r="J34" s="97">
        <f>SUM(J31:J33)</f>
        <v>0</v>
      </c>
      <c r="K34" s="97">
        <f>SUM(K31:K33)</f>
        <v>0</v>
      </c>
      <c r="L34" s="126" t="str">
        <f>IF(J34=0," ",(K34-J34)/J34)</f>
        <v> </v>
      </c>
      <c r="M34" s="82" t="s">
        <v>123</v>
      </c>
      <c r="N34" s="81"/>
    </row>
    <row r="35" spans="1:13" ht="10.5" customHeight="1">
      <c r="A35" s="65"/>
      <c r="B35" s="84" t="s">
        <v>98</v>
      </c>
      <c r="E35" s="3"/>
      <c r="F35" s="97"/>
      <c r="G35" s="99"/>
      <c r="H35" s="239"/>
      <c r="I35" s="237"/>
      <c r="J35" s="523"/>
      <c r="K35" s="99"/>
      <c r="L35" s="54"/>
      <c r="M35" s="83"/>
    </row>
    <row r="36" spans="1:14" ht="10.5" customHeight="1">
      <c r="A36" s="65"/>
      <c r="C36" s="12" t="s">
        <v>22</v>
      </c>
      <c r="E36" s="3">
        <v>22</v>
      </c>
      <c r="F36" s="20"/>
      <c r="G36" s="130"/>
      <c r="H36" s="241"/>
      <c r="I36" s="96"/>
      <c r="J36" s="94">
        <f>[1]!CSP1012POtherF1000</f>
        <v>0</v>
      </c>
      <c r="K36" s="131">
        <f>SUM(F35:G36)</f>
        <v>0</v>
      </c>
      <c r="L36" s="10" t="str">
        <f>IF(J36=0," ",(K36-J36)/J36)</f>
        <v> </v>
      </c>
      <c r="M36" s="82" t="s">
        <v>124</v>
      </c>
      <c r="N36" s="81"/>
    </row>
    <row r="37" spans="1:14" ht="10.5" customHeight="1">
      <c r="A37" s="65"/>
      <c r="C37" s="12" t="s">
        <v>95</v>
      </c>
      <c r="E37" s="3">
        <v>23</v>
      </c>
      <c r="F37" s="21"/>
      <c r="G37" s="21"/>
      <c r="H37" s="96"/>
      <c r="I37" s="96"/>
      <c r="J37" s="20">
        <f>[1]!CSP1012POtherF2100</f>
        <v>0</v>
      </c>
      <c r="K37" s="6">
        <f>SUM(F37:G37)</f>
        <v>0</v>
      </c>
      <c r="L37" s="10" t="str">
        <f>IF(J37=0," ",(K37-J37)/J37)</f>
        <v> </v>
      </c>
      <c r="M37" s="82" t="s">
        <v>125</v>
      </c>
      <c r="N37" s="81"/>
    </row>
    <row r="38" spans="1:14" ht="10.5" customHeight="1">
      <c r="A38" s="65"/>
      <c r="C38" s="12" t="s">
        <v>159</v>
      </c>
      <c r="E38" s="3">
        <v>24</v>
      </c>
      <c r="F38" s="21"/>
      <c r="G38" s="21"/>
      <c r="H38" s="96"/>
      <c r="I38" s="96"/>
      <c r="J38" s="21">
        <f>[1]!CSP1012POtherF2200</f>
        <v>0</v>
      </c>
      <c r="K38" s="15">
        <f>SUM(F38:G38)</f>
        <v>0</v>
      </c>
      <c r="L38" s="10" t="str">
        <f>IF(J38=0," ",(K38-J38)/J38)</f>
        <v> </v>
      </c>
      <c r="M38" s="82" t="s">
        <v>126</v>
      </c>
      <c r="N38" s="81"/>
    </row>
    <row r="39" spans="1:14" ht="10.5" customHeight="1">
      <c r="A39" s="71"/>
      <c r="B39" s="26" t="s">
        <v>103</v>
      </c>
      <c r="C39" s="26"/>
      <c r="D39" s="26"/>
      <c r="E39" s="5">
        <v>25</v>
      </c>
      <c r="F39" s="15">
        <f>SUM(F35:F38)</f>
        <v>0</v>
      </c>
      <c r="G39" s="15">
        <f>SUM(G35:G38)</f>
        <v>0</v>
      </c>
      <c r="H39" s="96"/>
      <c r="I39" s="96"/>
      <c r="J39" s="15">
        <f>SUM(J36:J38)</f>
        <v>0</v>
      </c>
      <c r="K39" s="15">
        <f>SUM(K36:K38)</f>
        <v>0</v>
      </c>
      <c r="L39" s="10" t="str">
        <f>IF(J39=0," ",(K39-J39)/J39)</f>
        <v> </v>
      </c>
      <c r="M39" s="82" t="s">
        <v>127</v>
      </c>
      <c r="N39" s="81"/>
    </row>
    <row r="40" spans="1:14" ht="12.75" customHeight="1">
      <c r="A40" s="71" t="s">
        <v>104</v>
      </c>
      <c r="B40" s="26"/>
      <c r="C40" s="26"/>
      <c r="D40" s="26"/>
      <c r="E40" s="5">
        <v>26</v>
      </c>
      <c r="F40" s="6">
        <f>F29+F34+F39</f>
        <v>26870</v>
      </c>
      <c r="G40" s="6">
        <f>G29+G34+G39</f>
        <v>5584</v>
      </c>
      <c r="H40" s="96"/>
      <c r="I40" s="96"/>
      <c r="J40" s="6">
        <f>J29+J34+J39</f>
        <v>32024</v>
      </c>
      <c r="K40" s="6">
        <f>K29+K34+K39</f>
        <v>32454</v>
      </c>
      <c r="L40" s="10">
        <f>IF(J40=0," ",(K40-J40)/J40)</f>
        <v>0.013</v>
      </c>
      <c r="M40" s="82" t="s">
        <v>128</v>
      </c>
      <c r="N40" s="81"/>
    </row>
    <row r="41" spans="1:15" ht="10.5" customHeight="1">
      <c r="A41" s="213" t="s">
        <v>90</v>
      </c>
      <c r="B41" s="202"/>
      <c r="C41" s="202"/>
      <c r="D41" s="202"/>
      <c r="E41" s="3"/>
      <c r="F41" s="97"/>
      <c r="G41" s="97"/>
      <c r="H41" s="97"/>
      <c r="I41" s="99"/>
      <c r="J41" s="97"/>
      <c r="K41" s="97"/>
      <c r="L41" s="54"/>
      <c r="M41" s="2"/>
      <c r="N41" s="7"/>
      <c r="O41" s="9"/>
    </row>
    <row r="42" spans="1:15" ht="10.5" customHeight="1">
      <c r="A42" s="65"/>
      <c r="B42" s="12" t="s">
        <v>21</v>
      </c>
      <c r="F42" s="127"/>
      <c r="G42" s="127"/>
      <c r="H42" s="127"/>
      <c r="I42" s="133"/>
      <c r="J42" s="127"/>
      <c r="K42" s="127"/>
      <c r="L42" s="126"/>
      <c r="N42" s="7"/>
      <c r="O42" s="9"/>
    </row>
    <row r="43" spans="1:14" ht="10.5" customHeight="1">
      <c r="A43" s="65"/>
      <c r="C43" s="12" t="s">
        <v>22</v>
      </c>
      <c r="E43" s="3">
        <v>27</v>
      </c>
      <c r="F43" s="20">
        <v>30360</v>
      </c>
      <c r="G43" s="20">
        <v>6309</v>
      </c>
      <c r="H43" s="20"/>
      <c r="I43" s="130"/>
      <c r="J43" s="20">
        <f>[1]!CSP1013P100F1000</f>
        <v>35319</v>
      </c>
      <c r="K43" s="6">
        <f>SUM(F43:I43)</f>
        <v>36669</v>
      </c>
      <c r="L43" s="10">
        <f>IF(J43=0," ",(K43-J43)/J43)</f>
        <v>0.038</v>
      </c>
      <c r="M43" s="2">
        <v>27</v>
      </c>
      <c r="N43" s="2"/>
    </row>
    <row r="44" spans="1:13" ht="10.5" customHeight="1">
      <c r="A44" s="65"/>
      <c r="C44" s="12" t="s">
        <v>160</v>
      </c>
      <c r="E44" s="3">
        <v>28</v>
      </c>
      <c r="F44" s="108"/>
      <c r="G44" s="20"/>
      <c r="H44" s="20"/>
      <c r="I44" s="20"/>
      <c r="J44" s="21">
        <f>[1]!CSP1013P100F2100</f>
        <v>0</v>
      </c>
      <c r="K44" s="15">
        <f>SUM(F44:I44)</f>
        <v>0</v>
      </c>
      <c r="L44" s="100" t="str">
        <f>IF(J44=0," ",(K44-J44)/J44)</f>
        <v> </v>
      </c>
      <c r="M44" s="68">
        <v>28</v>
      </c>
    </row>
    <row r="45" spans="1:13" ht="10.5" customHeight="1">
      <c r="A45" s="65"/>
      <c r="C45" s="12" t="s">
        <v>159</v>
      </c>
      <c r="E45" s="3">
        <v>29</v>
      </c>
      <c r="F45" s="109"/>
      <c r="G45" s="20"/>
      <c r="H45" s="20"/>
      <c r="I45" s="20"/>
      <c r="J45" s="21">
        <f>[1]!CSP1013P100F2200</f>
        <v>0</v>
      </c>
      <c r="K45" s="15">
        <f>SUM(F45:I45)</f>
        <v>0</v>
      </c>
      <c r="L45" s="100" t="str">
        <f>IF(J45=0," ",(K45-J45)/J45)</f>
        <v> </v>
      </c>
      <c r="M45" s="68">
        <v>29</v>
      </c>
    </row>
    <row r="46" spans="1:13" ht="10.5" customHeight="1">
      <c r="A46" s="71"/>
      <c r="B46" s="104" t="s">
        <v>251</v>
      </c>
      <c r="C46" s="26"/>
      <c r="D46" s="26"/>
      <c r="E46" s="18">
        <v>30</v>
      </c>
      <c r="F46" s="24">
        <f>SUM(F41:F45)</f>
        <v>30360</v>
      </c>
      <c r="G46" s="6">
        <f>SUM(G41:G45)</f>
        <v>6309</v>
      </c>
      <c r="H46" s="6">
        <f>SUM(H41:H45)</f>
        <v>0</v>
      </c>
      <c r="I46" s="6">
        <f>SUM(I41:I45)</f>
        <v>0</v>
      </c>
      <c r="J46" s="127">
        <f>SUM(J42:J45)</f>
        <v>35319</v>
      </c>
      <c r="K46" s="127">
        <f>SUM(F46:I46)</f>
        <v>36669</v>
      </c>
      <c r="L46" s="126">
        <f>IF(J46=0," ",(K46-J46)/J46)</f>
        <v>0.038</v>
      </c>
      <c r="M46" s="68">
        <v>30</v>
      </c>
    </row>
    <row r="47" spans="1:13" ht="10.5" customHeight="1">
      <c r="A47" s="1"/>
      <c r="B47" s="12" t="s">
        <v>28</v>
      </c>
      <c r="E47" s="3"/>
      <c r="F47" s="97"/>
      <c r="G47" s="97"/>
      <c r="H47" s="97"/>
      <c r="I47" s="99"/>
      <c r="J47" s="97"/>
      <c r="K47" s="97"/>
      <c r="L47" s="54"/>
      <c r="M47" s="2"/>
    </row>
    <row r="48" spans="1:13" ht="10.5" customHeight="1">
      <c r="A48" s="65"/>
      <c r="C48" s="12" t="s">
        <v>22</v>
      </c>
      <c r="E48" s="3">
        <v>31</v>
      </c>
      <c r="F48" s="20"/>
      <c r="G48" s="20"/>
      <c r="H48" s="20"/>
      <c r="I48" s="130"/>
      <c r="J48" s="20">
        <f>[1]!CSP1013P200F1000</f>
        <v>0</v>
      </c>
      <c r="K48" s="6">
        <f>SUM(F48:I48)</f>
        <v>0</v>
      </c>
      <c r="L48" s="10" t="str">
        <f>IF(J48=0," ",(K48-J48)/J48)</f>
        <v> </v>
      </c>
      <c r="M48" s="2">
        <v>31</v>
      </c>
    </row>
    <row r="49" spans="1:13" ht="10.5" customHeight="1">
      <c r="A49" s="65"/>
      <c r="C49" s="12" t="s">
        <v>160</v>
      </c>
      <c r="E49" s="16">
        <v>32</v>
      </c>
      <c r="F49" s="108"/>
      <c r="G49" s="20"/>
      <c r="H49" s="20"/>
      <c r="I49" s="20"/>
      <c r="J49" s="20">
        <f>[1]!CSP1013P200F2100</f>
        <v>0</v>
      </c>
      <c r="K49" s="97">
        <f>SUM(F49:I49)</f>
        <v>0</v>
      </c>
      <c r="L49" s="98" t="str">
        <f>IF(J49=0," ",(K49-J49)/J49)</f>
        <v> </v>
      </c>
      <c r="M49" s="68">
        <v>32</v>
      </c>
    </row>
    <row r="50" spans="1:13" ht="10.5" customHeight="1">
      <c r="A50" s="65"/>
      <c r="C50" s="12" t="s">
        <v>159</v>
      </c>
      <c r="E50" s="16">
        <v>33</v>
      </c>
      <c r="F50" s="109"/>
      <c r="G50" s="20"/>
      <c r="H50" s="20"/>
      <c r="I50" s="20"/>
      <c r="J50" s="21">
        <f>[1]!CSP1013P200F2200</f>
        <v>0</v>
      </c>
      <c r="K50" s="15">
        <f>SUM(F50:I50)</f>
        <v>0</v>
      </c>
      <c r="L50" s="100" t="str">
        <f aca="true" t="shared" si="0" ref="L50:L59">IF(J50=0," ",(K50-J50)/J50)</f>
        <v> </v>
      </c>
      <c r="M50" s="68">
        <v>33</v>
      </c>
    </row>
    <row r="51" spans="1:13" ht="10.5" customHeight="1">
      <c r="A51" s="71"/>
      <c r="B51" s="104" t="s">
        <v>252</v>
      </c>
      <c r="C51" s="26"/>
      <c r="D51" s="26"/>
      <c r="E51" s="18">
        <v>34</v>
      </c>
      <c r="F51" s="24">
        <f>SUM(F47:F50)</f>
        <v>0</v>
      </c>
      <c r="G51" s="6">
        <f>SUM(G47:G50)</f>
        <v>0</v>
      </c>
      <c r="H51" s="6">
        <f>SUM(H47:H50)</f>
        <v>0</v>
      </c>
      <c r="I51" s="6">
        <f>SUM(I47:I50)</f>
        <v>0</v>
      </c>
      <c r="J51" s="127">
        <f>SUM(J48:J50)</f>
        <v>0</v>
      </c>
      <c r="K51" s="127">
        <f>SUM(F51:I51)</f>
        <v>0</v>
      </c>
      <c r="L51" s="126" t="str">
        <f t="shared" si="0"/>
        <v> </v>
      </c>
      <c r="M51" s="68">
        <v>34</v>
      </c>
    </row>
    <row r="52" spans="1:13" ht="10.5" customHeight="1">
      <c r="A52" s="1"/>
      <c r="B52" s="50" t="s">
        <v>130</v>
      </c>
      <c r="C52" s="50"/>
      <c r="D52" s="50"/>
      <c r="E52" s="19"/>
      <c r="F52" s="97"/>
      <c r="G52" s="97"/>
      <c r="H52" s="97"/>
      <c r="I52" s="99"/>
      <c r="J52" s="97"/>
      <c r="K52" s="97"/>
      <c r="L52" s="54"/>
      <c r="M52" s="2"/>
    </row>
    <row r="53" spans="1:13" ht="10.5" customHeight="1">
      <c r="A53" s="71"/>
      <c r="B53" s="26"/>
      <c r="C53" s="26" t="s">
        <v>22</v>
      </c>
      <c r="D53" s="26"/>
      <c r="E53" s="18">
        <v>35</v>
      </c>
      <c r="F53" s="20"/>
      <c r="G53" s="20"/>
      <c r="H53" s="20"/>
      <c r="I53" s="130"/>
      <c r="J53" s="20">
        <f>[1]!CSP1013P530F1000</f>
        <v>0</v>
      </c>
      <c r="K53" s="6">
        <f>SUM(F53:I53)</f>
        <v>0</v>
      </c>
      <c r="L53" s="10" t="str">
        <f>IF(J53=0," ",(K53-J53)/J53)</f>
        <v> </v>
      </c>
      <c r="M53" s="2">
        <v>35</v>
      </c>
    </row>
    <row r="54" spans="1:13" ht="10.5" customHeight="1">
      <c r="A54" s="1"/>
      <c r="B54" s="95" t="s">
        <v>98</v>
      </c>
      <c r="E54" s="16"/>
      <c r="F54" s="97"/>
      <c r="G54" s="97"/>
      <c r="H54" s="97"/>
      <c r="I54" s="99"/>
      <c r="J54" s="97"/>
      <c r="K54" s="97"/>
      <c r="L54" s="54"/>
      <c r="M54" s="2"/>
    </row>
    <row r="55" spans="1:13" ht="10.5" customHeight="1">
      <c r="A55" s="65"/>
      <c r="C55" s="12" t="s">
        <v>22</v>
      </c>
      <c r="E55" s="3">
        <v>36</v>
      </c>
      <c r="F55" s="20"/>
      <c r="G55" s="20"/>
      <c r="H55" s="20"/>
      <c r="I55" s="130"/>
      <c r="J55" s="20">
        <f>[1]!CSP1013POtherF1000</f>
        <v>0</v>
      </c>
      <c r="K55" s="6">
        <f>SUM(F55:I55)</f>
        <v>0</v>
      </c>
      <c r="L55" s="10" t="str">
        <f>IF(J55=0," ",(K55-J55)/J55)</f>
        <v> </v>
      </c>
      <c r="M55" s="2">
        <v>36</v>
      </c>
    </row>
    <row r="56" spans="1:13" ht="10.5" customHeight="1">
      <c r="A56" s="65"/>
      <c r="C56" s="85" t="s">
        <v>178</v>
      </c>
      <c r="E56" s="3">
        <v>37</v>
      </c>
      <c r="F56" s="109"/>
      <c r="G56" s="20"/>
      <c r="H56" s="20"/>
      <c r="I56" s="20"/>
      <c r="J56" s="20">
        <f>[1]!CSP1013POtherF21002200</f>
        <v>0</v>
      </c>
      <c r="K56" s="6">
        <f>SUM(F56:I56)</f>
        <v>0</v>
      </c>
      <c r="L56" s="10" t="str">
        <f t="shared" si="0"/>
        <v> </v>
      </c>
      <c r="M56" s="68">
        <v>37</v>
      </c>
    </row>
    <row r="57" spans="1:13" ht="10.5" customHeight="1">
      <c r="A57" s="65"/>
      <c r="B57" s="85" t="s">
        <v>253</v>
      </c>
      <c r="C57" s="26"/>
      <c r="D57" s="26"/>
      <c r="E57" s="18">
        <v>38</v>
      </c>
      <c r="F57" s="24">
        <f>SUM(F54:F56)</f>
        <v>0</v>
      </c>
      <c r="G57" s="6">
        <f>SUM(G54:G56)</f>
        <v>0</v>
      </c>
      <c r="H57" s="6">
        <f>SUM(H54:H56)</f>
        <v>0</v>
      </c>
      <c r="I57" s="6">
        <f>SUM(I54:I56)</f>
        <v>0</v>
      </c>
      <c r="J57" s="6">
        <f>SUM(J55:J56)</f>
        <v>0</v>
      </c>
      <c r="K57" s="6">
        <f>SUM(F57:I57)</f>
        <v>0</v>
      </c>
      <c r="L57" s="10" t="str">
        <f t="shared" si="0"/>
        <v> </v>
      </c>
      <c r="M57" s="68">
        <v>38</v>
      </c>
    </row>
    <row r="58" spans="1:13" ht="12.75" customHeight="1">
      <c r="A58" s="105" t="s">
        <v>254</v>
      </c>
      <c r="B58" s="72"/>
      <c r="C58" s="26"/>
      <c r="D58" s="72"/>
      <c r="E58" s="17">
        <v>39</v>
      </c>
      <c r="F58" s="24">
        <f>F46+F51+F52+F53+F57</f>
        <v>30360</v>
      </c>
      <c r="G58" s="6">
        <f>G46+G51+G52+G53+G57</f>
        <v>6309</v>
      </c>
      <c r="H58" s="6">
        <f>H46+H51+H52+H53+H57</f>
        <v>0</v>
      </c>
      <c r="I58" s="6">
        <f>I46+I51+I52+I53+I57</f>
        <v>0</v>
      </c>
      <c r="J58" s="6">
        <f>J46+J51+J53+J57</f>
        <v>35319</v>
      </c>
      <c r="K58" s="6">
        <f>K46+K51+K53+K57</f>
        <v>36669</v>
      </c>
      <c r="L58" s="10">
        <f t="shared" si="0"/>
        <v>0.038</v>
      </c>
      <c r="M58" s="68">
        <v>39</v>
      </c>
    </row>
    <row r="59" spans="1:13" ht="12.75">
      <c r="A59" s="105" t="s">
        <v>255</v>
      </c>
      <c r="B59" s="72"/>
      <c r="C59" s="72"/>
      <c r="D59" s="72"/>
      <c r="E59" s="17">
        <v>40</v>
      </c>
      <c r="F59" s="24">
        <f>F23+F40+F58</f>
        <v>71436</v>
      </c>
      <c r="G59" s="24">
        <f>G23+G40+G58</f>
        <v>14845</v>
      </c>
      <c r="H59" s="25">
        <f>H58</f>
        <v>0</v>
      </c>
      <c r="I59" s="25">
        <f>I58</f>
        <v>0</v>
      </c>
      <c r="J59" s="25">
        <f>J23+J40+J58</f>
        <v>84394</v>
      </c>
      <c r="K59" s="24">
        <f>SUM(F59:I59)</f>
        <v>86281</v>
      </c>
      <c r="L59" s="10">
        <f t="shared" si="0"/>
        <v>0.022</v>
      </c>
      <c r="M59" s="68">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68" r:id="rId2"/>
  <headerFooter>
    <oddFooter>&amp;L&amp;"Arial,Bold"Rev. 5/19 Arizona Department of Education and Auditor General&amp;R&amp;"Arial,Bold"Page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G9" sqref="G9"/>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2" t="s">
        <v>0</v>
      </c>
      <c r="B1" s="12"/>
      <c r="C1" s="12"/>
      <c r="D1" s="600" t="str">
        <f>Cover!D1</f>
        <v>Scottsdale Country Day School</v>
      </c>
      <c r="E1" s="600"/>
      <c r="F1" s="600"/>
      <c r="G1" s="13"/>
      <c r="H1" s="12"/>
      <c r="I1" s="39" t="s">
        <v>53</v>
      </c>
      <c r="J1" s="588" t="str">
        <f>Cover!M1</f>
        <v>Maricopa</v>
      </c>
      <c r="K1" s="588"/>
      <c r="L1" s="12"/>
      <c r="M1" s="39" t="s">
        <v>89</v>
      </c>
      <c r="N1" s="588" t="str">
        <f>Cover!R1</f>
        <v>078243000</v>
      </c>
      <c r="O1" s="588"/>
      <c r="P1" s="12"/>
    </row>
    <row r="2" spans="1:16" ht="12.75">
      <c r="A2" s="48"/>
      <c r="B2" s="48"/>
      <c r="C2" s="199"/>
      <c r="D2" s="48"/>
      <c r="E2" s="48"/>
      <c r="F2" s="48"/>
      <c r="G2" s="48"/>
      <c r="H2" s="48"/>
      <c r="I2" s="48"/>
      <c r="J2" s="48"/>
      <c r="K2" s="12"/>
      <c r="L2" s="12"/>
      <c r="M2" s="12"/>
      <c r="N2" s="12"/>
      <c r="O2" s="12"/>
      <c r="P2" s="12"/>
    </row>
    <row r="3" spans="1:16" ht="12.75">
      <c r="A3" s="49"/>
      <c r="B3" s="50"/>
      <c r="C3" s="50"/>
      <c r="D3" s="599"/>
      <c r="E3" s="51"/>
      <c r="F3" s="52" t="s">
        <v>141</v>
      </c>
      <c r="G3" s="53"/>
      <c r="H3" s="54"/>
      <c r="I3" s="54"/>
      <c r="J3" s="55" t="s">
        <v>14</v>
      </c>
      <c r="K3" s="1"/>
      <c r="L3" s="1"/>
      <c r="M3" s="56" t="s">
        <v>61</v>
      </c>
      <c r="N3" s="57"/>
      <c r="O3" s="54"/>
      <c r="P3" s="12"/>
    </row>
    <row r="4" spans="1:16" ht="12.75">
      <c r="A4" s="4"/>
      <c r="B4" s="12"/>
      <c r="C4" s="12"/>
      <c r="D4" s="589"/>
      <c r="E4" s="58"/>
      <c r="F4" s="59" t="s">
        <v>139</v>
      </c>
      <c r="G4" s="60"/>
      <c r="H4" s="61"/>
      <c r="I4" s="61" t="s">
        <v>140</v>
      </c>
      <c r="J4" s="61" t="s">
        <v>17</v>
      </c>
      <c r="K4" s="62"/>
      <c r="L4" s="62"/>
      <c r="M4" s="62"/>
      <c r="N4" s="62"/>
      <c r="O4" s="61" t="s">
        <v>63</v>
      </c>
      <c r="P4" s="12"/>
    </row>
    <row r="5" spans="1:16" ht="12.75">
      <c r="A5" s="4" t="s">
        <v>92</v>
      </c>
      <c r="B5" s="12"/>
      <c r="C5" s="12"/>
      <c r="D5" s="12"/>
      <c r="E5" s="58"/>
      <c r="F5" s="223" t="s">
        <v>242</v>
      </c>
      <c r="G5" s="55" t="s">
        <v>62</v>
      </c>
      <c r="H5" s="61" t="s">
        <v>15</v>
      </c>
      <c r="I5" s="61" t="s">
        <v>16</v>
      </c>
      <c r="J5" s="61" t="s">
        <v>20</v>
      </c>
      <c r="K5" s="61" t="s">
        <v>18</v>
      </c>
      <c r="L5" s="61" t="s">
        <v>19</v>
      </c>
      <c r="M5" s="222" t="s">
        <v>243</v>
      </c>
      <c r="N5" s="222" t="s">
        <v>55</v>
      </c>
      <c r="O5" s="61" t="s">
        <v>64</v>
      </c>
      <c r="P5" s="12"/>
    </row>
    <row r="6" spans="1:16" ht="12.75">
      <c r="A6" s="63"/>
      <c r="B6" s="26"/>
      <c r="C6" s="26"/>
      <c r="D6" s="26"/>
      <c r="E6" s="18"/>
      <c r="F6" s="61" t="s">
        <v>54</v>
      </c>
      <c r="G6" s="64" t="s">
        <v>54</v>
      </c>
      <c r="H6" s="64">
        <v>6100</v>
      </c>
      <c r="I6" s="64">
        <v>6200</v>
      </c>
      <c r="J6" s="64">
        <v>6500</v>
      </c>
      <c r="K6" s="64">
        <v>6600</v>
      </c>
      <c r="L6" s="64">
        <v>6800</v>
      </c>
      <c r="M6" s="222">
        <v>2019</v>
      </c>
      <c r="N6" s="222">
        <v>2020</v>
      </c>
      <c r="O6" s="61" t="s">
        <v>65</v>
      </c>
      <c r="P6" s="12"/>
    </row>
    <row r="7" spans="1:16" ht="12.75">
      <c r="A7" s="214" t="s">
        <v>500</v>
      </c>
      <c r="B7" s="493"/>
      <c r="C7" s="493"/>
      <c r="D7" s="493"/>
      <c r="E7" s="494"/>
      <c r="F7" s="495"/>
      <c r="G7" s="139"/>
      <c r="H7" s="97"/>
      <c r="I7" s="97"/>
      <c r="J7" s="97"/>
      <c r="K7" s="97"/>
      <c r="L7" s="99"/>
      <c r="M7" s="138"/>
      <c r="N7" s="138"/>
      <c r="O7" s="138"/>
      <c r="P7" s="12"/>
    </row>
    <row r="8" spans="1:16" ht="12.75">
      <c r="A8" s="65"/>
      <c r="B8" s="12" t="s">
        <v>167</v>
      </c>
      <c r="C8" s="12"/>
      <c r="D8" s="12"/>
      <c r="E8" s="3"/>
      <c r="F8" s="140"/>
      <c r="G8" s="141"/>
      <c r="H8" s="127"/>
      <c r="I8" s="127"/>
      <c r="J8" s="127"/>
      <c r="K8" s="127"/>
      <c r="L8" s="133"/>
      <c r="M8" s="127"/>
      <c r="N8" s="127"/>
      <c r="O8" s="126"/>
      <c r="P8" s="12"/>
    </row>
    <row r="9" spans="1:16" ht="12.75">
      <c r="A9" s="65"/>
      <c r="B9" s="12"/>
      <c r="C9" s="12" t="s">
        <v>22</v>
      </c>
      <c r="D9" s="12"/>
      <c r="E9" s="3">
        <v>1</v>
      </c>
      <c r="F9" s="70">
        <f>[1]!SEIP1071P260F1000PPL</f>
        <v>0</v>
      </c>
      <c r="G9" s="137"/>
      <c r="H9" s="20"/>
      <c r="I9" s="20"/>
      <c r="J9" s="20"/>
      <c r="K9" s="20"/>
      <c r="L9" s="130"/>
      <c r="M9" s="20">
        <f>[1]!SEIP1071P260F1000</f>
        <v>0</v>
      </c>
      <c r="N9" s="6">
        <f>SUM(H7:L9)</f>
        <v>0</v>
      </c>
      <c r="O9" s="10" t="str">
        <f>IF(M9=0," ",(N9-M9)/M9)</f>
        <v> </v>
      </c>
      <c r="P9" s="2">
        <v>1</v>
      </c>
    </row>
    <row r="10" spans="1:16" ht="12.75">
      <c r="A10" s="65"/>
      <c r="B10" s="12"/>
      <c r="C10" s="12" t="s">
        <v>23</v>
      </c>
      <c r="D10" s="12"/>
      <c r="E10" s="3"/>
      <c r="F10" s="138"/>
      <c r="G10" s="139"/>
      <c r="H10" s="97"/>
      <c r="I10" s="97"/>
      <c r="J10" s="97"/>
      <c r="K10" s="97"/>
      <c r="L10" s="99"/>
      <c r="M10" s="138"/>
      <c r="N10" s="138"/>
      <c r="O10" s="138"/>
      <c r="P10" s="2"/>
    </row>
    <row r="11" spans="1:16" ht="12.75">
      <c r="A11" s="65"/>
      <c r="B11" s="12"/>
      <c r="C11" s="12" t="s">
        <v>161</v>
      </c>
      <c r="D11" s="12"/>
      <c r="E11" s="3">
        <v>2</v>
      </c>
      <c r="F11" s="70">
        <f>[1]!SEIP1071P260F2100PPL</f>
        <v>0</v>
      </c>
      <c r="G11" s="137"/>
      <c r="H11" s="20"/>
      <c r="I11" s="20"/>
      <c r="J11" s="20"/>
      <c r="K11" s="20"/>
      <c r="L11" s="130"/>
      <c r="M11" s="20">
        <f>[1]!SEIP1071P260F2100</f>
        <v>0</v>
      </c>
      <c r="N11" s="6">
        <f>SUM(H10:L11)</f>
        <v>0</v>
      </c>
      <c r="O11" s="10" t="str">
        <f>IF(M11=0," ",(N11-M11)/M11)</f>
        <v> </v>
      </c>
      <c r="P11" s="2">
        <v>2</v>
      </c>
    </row>
    <row r="12" spans="1:16" ht="12.75">
      <c r="A12" s="65"/>
      <c r="B12" s="12"/>
      <c r="C12" s="12" t="s">
        <v>164</v>
      </c>
      <c r="D12" s="12"/>
      <c r="E12" s="16">
        <v>3</v>
      </c>
      <c r="F12" s="70">
        <f>[1]!SEIP1071P260F2200PPL</f>
        <v>0</v>
      </c>
      <c r="G12" s="101"/>
      <c r="H12" s="102"/>
      <c r="I12" s="102"/>
      <c r="J12" s="102"/>
      <c r="K12" s="102"/>
      <c r="L12" s="102"/>
      <c r="M12" s="28">
        <f>[1]!SEIP1071P260F2200</f>
        <v>0</v>
      </c>
      <c r="N12" s="6">
        <f aca="true" t="shared" si="0" ref="N12:N17">SUM(H12:L12)</f>
        <v>0</v>
      </c>
      <c r="O12" s="129" t="str">
        <f aca="true" t="shared" si="1" ref="O12:O18">IF(M12=0," ",(N12-M12)/M12)</f>
        <v> </v>
      </c>
      <c r="P12" s="68">
        <v>3</v>
      </c>
    </row>
    <row r="13" spans="1:16" ht="12.75">
      <c r="A13" s="65"/>
      <c r="B13" s="12"/>
      <c r="C13" s="12" t="s">
        <v>162</v>
      </c>
      <c r="D13" s="12"/>
      <c r="E13" s="16">
        <v>4</v>
      </c>
      <c r="F13" s="69">
        <f>[1]!SEIP1071P260F2300PPL</f>
        <v>0</v>
      </c>
      <c r="G13" s="101"/>
      <c r="H13" s="102"/>
      <c r="I13" s="102"/>
      <c r="J13" s="102"/>
      <c r="K13" s="102"/>
      <c r="L13" s="102"/>
      <c r="M13" s="102">
        <f>[1]!SEIP1071P260F2300</f>
        <v>0</v>
      </c>
      <c r="N13" s="15">
        <f t="shared" si="0"/>
        <v>0</v>
      </c>
      <c r="O13" s="103" t="str">
        <f t="shared" si="1"/>
        <v> </v>
      </c>
      <c r="P13" s="68">
        <v>4</v>
      </c>
    </row>
    <row r="14" spans="1:16" ht="12.75">
      <c r="A14" s="65"/>
      <c r="B14" s="12"/>
      <c r="C14" s="12" t="s">
        <v>163</v>
      </c>
      <c r="D14" s="12"/>
      <c r="E14" s="16">
        <v>5</v>
      </c>
      <c r="F14" s="69">
        <f>[1]!SEIP1071P260F2400PPL</f>
        <v>0</v>
      </c>
      <c r="G14" s="101"/>
      <c r="H14" s="102"/>
      <c r="I14" s="102"/>
      <c r="J14" s="102"/>
      <c r="K14" s="102"/>
      <c r="L14" s="102"/>
      <c r="M14" s="102">
        <f>[1]!SEIP1071P260F2400</f>
        <v>0</v>
      </c>
      <c r="N14" s="15">
        <f t="shared" si="0"/>
        <v>0</v>
      </c>
      <c r="O14" s="103" t="str">
        <f t="shared" si="1"/>
        <v> </v>
      </c>
      <c r="P14" s="68">
        <v>5</v>
      </c>
    </row>
    <row r="15" spans="1:16" ht="12.75">
      <c r="A15" s="65"/>
      <c r="B15" s="12"/>
      <c r="C15" s="12" t="s">
        <v>165</v>
      </c>
      <c r="D15" s="12"/>
      <c r="E15" s="16">
        <v>6</v>
      </c>
      <c r="F15" s="69">
        <f>[1]!SEIP1071P260F2500PPL</f>
        <v>0</v>
      </c>
      <c r="G15" s="101"/>
      <c r="H15" s="102"/>
      <c r="I15" s="102"/>
      <c r="J15" s="102"/>
      <c r="K15" s="102"/>
      <c r="L15" s="102"/>
      <c r="M15" s="102">
        <f>[1]!SEIP1071P260F2500</f>
        <v>0</v>
      </c>
      <c r="N15" s="15">
        <f t="shared" si="0"/>
        <v>0</v>
      </c>
      <c r="O15" s="103" t="str">
        <f t="shared" si="1"/>
        <v> </v>
      </c>
      <c r="P15" s="68">
        <v>6</v>
      </c>
    </row>
    <row r="16" spans="1:16" ht="12.75">
      <c r="A16" s="65"/>
      <c r="B16" s="12"/>
      <c r="C16" s="12" t="s">
        <v>166</v>
      </c>
      <c r="D16" s="12"/>
      <c r="E16" s="16">
        <v>7</v>
      </c>
      <c r="F16" s="69">
        <f>[1]!SEIP1071P260F2600PPL</f>
        <v>0</v>
      </c>
      <c r="G16" s="69"/>
      <c r="H16" s="21"/>
      <c r="I16" s="21"/>
      <c r="J16" s="21"/>
      <c r="K16" s="21"/>
      <c r="L16" s="21"/>
      <c r="M16" s="102">
        <f>[1]!SEIP1071P260F2600</f>
        <v>0</v>
      </c>
      <c r="N16" s="15">
        <f t="shared" si="0"/>
        <v>0</v>
      </c>
      <c r="O16" s="103" t="str">
        <f t="shared" si="1"/>
        <v> </v>
      </c>
      <c r="P16" s="68">
        <v>7</v>
      </c>
    </row>
    <row r="17" spans="1:16" ht="12.75">
      <c r="A17" s="65"/>
      <c r="B17" s="12"/>
      <c r="C17" s="12" t="s">
        <v>168</v>
      </c>
      <c r="D17" s="12"/>
      <c r="E17" s="16">
        <v>8</v>
      </c>
      <c r="F17" s="69">
        <f>[1]!SEIP1071P260F2900PPL</f>
        <v>0</v>
      </c>
      <c r="G17" s="70"/>
      <c r="H17" s="20"/>
      <c r="I17" s="20"/>
      <c r="J17" s="20"/>
      <c r="K17" s="20"/>
      <c r="L17" s="20"/>
      <c r="M17" s="102">
        <f>[1]!SEIP1071P260F2900</f>
        <v>0</v>
      </c>
      <c r="N17" s="15">
        <f t="shared" si="0"/>
        <v>0</v>
      </c>
      <c r="O17" s="103" t="str">
        <f t="shared" si="1"/>
        <v> </v>
      </c>
      <c r="P17" s="68">
        <v>8</v>
      </c>
    </row>
    <row r="18" spans="1:16" ht="12.75">
      <c r="A18" s="71"/>
      <c r="B18" s="104" t="s">
        <v>174</v>
      </c>
      <c r="C18" s="26"/>
      <c r="D18" s="26"/>
      <c r="E18" s="18">
        <v>9</v>
      </c>
      <c r="F18" s="140">
        <f>SUM(F8:F17)</f>
        <v>0</v>
      </c>
      <c r="G18" s="66">
        <f aca="true" t="shared" si="2" ref="G18:L18">SUM(G7:G17)</f>
        <v>0</v>
      </c>
      <c r="H18" s="6">
        <f t="shared" si="2"/>
        <v>0</v>
      </c>
      <c r="I18" s="6">
        <f t="shared" si="2"/>
        <v>0</v>
      </c>
      <c r="J18" s="6">
        <f t="shared" si="2"/>
        <v>0</v>
      </c>
      <c r="K18" s="6">
        <f t="shared" si="2"/>
        <v>0</v>
      </c>
      <c r="L18" s="6">
        <f t="shared" si="2"/>
        <v>0</v>
      </c>
      <c r="M18" s="127">
        <f>SUM(M8:M17)</f>
        <v>0</v>
      </c>
      <c r="N18" s="127">
        <f>SUM(N8:N17)</f>
        <v>0</v>
      </c>
      <c r="O18" s="128" t="str">
        <f t="shared" si="1"/>
        <v> </v>
      </c>
      <c r="P18" s="2">
        <v>9</v>
      </c>
    </row>
    <row r="19" spans="1:16" ht="12.75">
      <c r="A19" s="65"/>
      <c r="B19" s="85" t="s">
        <v>171</v>
      </c>
      <c r="C19" s="12"/>
      <c r="D19" s="12"/>
      <c r="E19" s="3"/>
      <c r="F19" s="138"/>
      <c r="G19" s="139"/>
      <c r="H19" s="97"/>
      <c r="I19" s="97"/>
      <c r="J19" s="97"/>
      <c r="K19" s="97"/>
      <c r="L19" s="99"/>
      <c r="M19" s="138"/>
      <c r="N19" s="142"/>
      <c r="O19" s="138"/>
      <c r="P19" s="2"/>
    </row>
    <row r="20" spans="1:16" ht="12.75">
      <c r="A20" s="65"/>
      <c r="B20" s="12"/>
      <c r="C20" s="12" t="s">
        <v>23</v>
      </c>
      <c r="D20" s="12"/>
      <c r="E20" s="3"/>
      <c r="F20" s="140"/>
      <c r="G20" s="141"/>
      <c r="H20" s="127"/>
      <c r="I20" s="127"/>
      <c r="J20" s="127"/>
      <c r="K20" s="127"/>
      <c r="L20" s="133"/>
      <c r="M20" s="127"/>
      <c r="N20" s="133"/>
      <c r="O20" s="134"/>
      <c r="P20" s="2"/>
    </row>
    <row r="21" spans="1:16" ht="12.75">
      <c r="A21" s="65"/>
      <c r="B21" s="12"/>
      <c r="C21" s="12" t="s">
        <v>169</v>
      </c>
      <c r="D21" s="12"/>
      <c r="E21" s="3">
        <v>10</v>
      </c>
      <c r="F21" s="70">
        <f>[1]!SEIP1071P430F2700PPL</f>
        <v>0</v>
      </c>
      <c r="G21" s="137"/>
      <c r="H21" s="20"/>
      <c r="I21" s="20"/>
      <c r="J21" s="20"/>
      <c r="K21" s="20"/>
      <c r="L21" s="130"/>
      <c r="M21" s="20">
        <f>[1]!SEIP1071P430F2700</f>
        <v>0</v>
      </c>
      <c r="N21" s="131">
        <f>SUM(H19:L21)</f>
        <v>0</v>
      </c>
      <c r="O21" s="135" t="str">
        <f>IF(M21=0," ",(N21-M21)/M21)</f>
        <v> </v>
      </c>
      <c r="P21" s="2">
        <v>10</v>
      </c>
    </row>
    <row r="22" spans="1:16" ht="12.75">
      <c r="A22" s="105" t="s">
        <v>175</v>
      </c>
      <c r="B22" s="72"/>
      <c r="C22" s="72"/>
      <c r="D22" s="72"/>
      <c r="E22" s="17">
        <v>11</v>
      </c>
      <c r="F22" s="66">
        <f aca="true" t="shared" si="3" ref="F22:L22">SUM(F18:F21)</f>
        <v>0</v>
      </c>
      <c r="G22" s="66">
        <f t="shared" si="3"/>
        <v>0</v>
      </c>
      <c r="H22" s="15">
        <f t="shared" si="3"/>
        <v>0</v>
      </c>
      <c r="I22" s="15">
        <f t="shared" si="3"/>
        <v>0</v>
      </c>
      <c r="J22" s="15">
        <f t="shared" si="3"/>
        <v>0</v>
      </c>
      <c r="K22" s="15">
        <f t="shared" si="3"/>
        <v>0</v>
      </c>
      <c r="L22" s="15">
        <f t="shared" si="3"/>
        <v>0</v>
      </c>
      <c r="M22" s="6">
        <f>[1]!TotalSEIP</f>
        <v>0</v>
      </c>
      <c r="N22" s="6">
        <f>SUM(N18:N21)</f>
        <v>0</v>
      </c>
      <c r="O22" s="135" t="str">
        <f>IF(M22=0," ",(N22-M22)/M22)</f>
        <v> </v>
      </c>
      <c r="P22" s="68">
        <v>11</v>
      </c>
    </row>
    <row r="23" spans="1:16" ht="12.75">
      <c r="A23" s="12"/>
      <c r="B23" s="12"/>
      <c r="C23" s="12"/>
      <c r="D23" s="12"/>
      <c r="E23" s="12"/>
      <c r="F23" s="12"/>
      <c r="G23" s="12"/>
      <c r="H23" s="12"/>
      <c r="I23" s="12"/>
      <c r="J23" s="12"/>
      <c r="K23" s="12"/>
      <c r="L23" s="12"/>
      <c r="M23" s="12"/>
      <c r="N23" s="12"/>
      <c r="O23" s="12"/>
      <c r="P23" s="12"/>
    </row>
    <row r="24" spans="1:16" ht="12.75">
      <c r="A24" s="49"/>
      <c r="B24" s="50"/>
      <c r="C24" s="50"/>
      <c r="D24" s="50"/>
      <c r="E24" s="51"/>
      <c r="F24" s="52" t="s">
        <v>141</v>
      </c>
      <c r="G24" s="53"/>
      <c r="H24" s="54"/>
      <c r="I24" s="54"/>
      <c r="J24" s="55" t="s">
        <v>14</v>
      </c>
      <c r="K24" s="1"/>
      <c r="L24" s="1"/>
      <c r="M24" s="56" t="s">
        <v>61</v>
      </c>
      <c r="N24" s="57"/>
      <c r="O24" s="54"/>
      <c r="P24" s="12"/>
    </row>
    <row r="25" spans="1:16" ht="12.75">
      <c r="A25" s="4"/>
      <c r="B25" s="12"/>
      <c r="C25" s="12"/>
      <c r="D25" s="12"/>
      <c r="E25" s="58"/>
      <c r="F25" s="59" t="s">
        <v>139</v>
      </c>
      <c r="G25" s="60"/>
      <c r="H25" s="61"/>
      <c r="I25" s="61" t="s">
        <v>140</v>
      </c>
      <c r="J25" s="61" t="s">
        <v>17</v>
      </c>
      <c r="K25" s="62"/>
      <c r="L25" s="62"/>
      <c r="M25" s="62"/>
      <c r="N25" s="62"/>
      <c r="O25" s="61" t="s">
        <v>63</v>
      </c>
      <c r="P25" s="12"/>
    </row>
    <row r="26" spans="1:16" ht="12.75">
      <c r="A26" s="4" t="s">
        <v>92</v>
      </c>
      <c r="B26" s="12"/>
      <c r="C26" s="12"/>
      <c r="D26" s="12"/>
      <c r="E26" s="58"/>
      <c r="F26" s="223" t="s">
        <v>242</v>
      </c>
      <c r="G26" s="55" t="s">
        <v>62</v>
      </c>
      <c r="H26" s="61" t="s">
        <v>15</v>
      </c>
      <c r="I26" s="61" t="s">
        <v>16</v>
      </c>
      <c r="J26" s="61" t="s">
        <v>20</v>
      </c>
      <c r="K26" s="61" t="s">
        <v>18</v>
      </c>
      <c r="L26" s="61" t="s">
        <v>19</v>
      </c>
      <c r="M26" s="222" t="s">
        <v>243</v>
      </c>
      <c r="N26" s="222" t="s">
        <v>55</v>
      </c>
      <c r="O26" s="61" t="s">
        <v>64</v>
      </c>
      <c r="P26" s="12"/>
    </row>
    <row r="27" spans="1:16" ht="12.75">
      <c r="A27" s="63"/>
      <c r="B27" s="26"/>
      <c r="C27" s="26"/>
      <c r="D27" s="26"/>
      <c r="E27" s="18"/>
      <c r="F27" s="61" t="s">
        <v>54</v>
      </c>
      <c r="G27" s="64" t="s">
        <v>54</v>
      </c>
      <c r="H27" s="64">
        <v>6100</v>
      </c>
      <c r="I27" s="64">
        <v>6200</v>
      </c>
      <c r="J27" s="64">
        <v>6500</v>
      </c>
      <c r="K27" s="64">
        <v>6600</v>
      </c>
      <c r="L27" s="64">
        <v>6800</v>
      </c>
      <c r="M27" s="222">
        <v>2019</v>
      </c>
      <c r="N27" s="222">
        <v>2020</v>
      </c>
      <c r="O27" s="61" t="s">
        <v>65</v>
      </c>
      <c r="P27" s="12"/>
    </row>
    <row r="28" spans="1:16" ht="12.75">
      <c r="A28" s="214" t="s">
        <v>143</v>
      </c>
      <c r="B28" s="201"/>
      <c r="C28" s="201"/>
      <c r="D28" s="201"/>
      <c r="E28" s="136"/>
      <c r="F28" s="138"/>
      <c r="G28" s="139"/>
      <c r="H28" s="97"/>
      <c r="I28" s="97"/>
      <c r="J28" s="97"/>
      <c r="K28" s="97"/>
      <c r="L28" s="99"/>
      <c r="M28" s="138"/>
      <c r="N28" s="138"/>
      <c r="O28" s="138"/>
      <c r="P28" s="12"/>
    </row>
    <row r="29" spans="1:16" ht="12.75">
      <c r="A29" s="65"/>
      <c r="B29" s="12" t="s">
        <v>144</v>
      </c>
      <c r="C29" s="12"/>
      <c r="D29" s="12"/>
      <c r="E29" s="3"/>
      <c r="F29" s="140"/>
      <c r="G29" s="141"/>
      <c r="H29" s="127"/>
      <c r="I29" s="127"/>
      <c r="J29" s="127"/>
      <c r="K29" s="127"/>
      <c r="L29" s="133"/>
      <c r="M29" s="127"/>
      <c r="N29" s="127"/>
      <c r="O29" s="126"/>
      <c r="P29" s="12"/>
    </row>
    <row r="30" spans="1:16" ht="12.75">
      <c r="A30" s="65"/>
      <c r="B30" s="12"/>
      <c r="C30" s="12" t="s">
        <v>22</v>
      </c>
      <c r="D30" s="12"/>
      <c r="E30" s="3">
        <v>12</v>
      </c>
      <c r="F30" s="70">
        <f>[1]!CIP1072P265F1000PPL</f>
        <v>0</v>
      </c>
      <c r="G30" s="137"/>
      <c r="H30" s="20"/>
      <c r="I30" s="20"/>
      <c r="J30" s="20"/>
      <c r="K30" s="20"/>
      <c r="L30" s="130"/>
      <c r="M30" s="20">
        <f>[1]!CIP1072P265F1000</f>
        <v>0</v>
      </c>
      <c r="N30" s="6">
        <f>SUM(H28:L30)</f>
        <v>0</v>
      </c>
      <c r="O30" s="10" t="str">
        <f>IF(M30=0," ",(N30-M30)/M30)</f>
        <v> </v>
      </c>
      <c r="P30" s="2">
        <v>12</v>
      </c>
    </row>
    <row r="31" spans="1:16" ht="12.75">
      <c r="A31" s="65"/>
      <c r="B31" s="12"/>
      <c r="C31" s="12" t="s">
        <v>23</v>
      </c>
      <c r="D31" s="12"/>
      <c r="E31" s="3"/>
      <c r="F31" s="138"/>
      <c r="G31" s="139"/>
      <c r="H31" s="97"/>
      <c r="I31" s="97"/>
      <c r="J31" s="97"/>
      <c r="K31" s="97"/>
      <c r="L31" s="99"/>
      <c r="M31" s="138"/>
      <c r="N31" s="138"/>
      <c r="O31" s="138"/>
      <c r="P31" s="12"/>
    </row>
    <row r="32" spans="1:16" ht="12.75">
      <c r="A32" s="65"/>
      <c r="B32" s="12"/>
      <c r="C32" s="12" t="s">
        <v>161</v>
      </c>
      <c r="D32" s="12"/>
      <c r="E32" s="3">
        <v>13</v>
      </c>
      <c r="F32" s="70">
        <f>[1]!CIP1072P265F2100PPL</f>
        <v>0</v>
      </c>
      <c r="G32" s="137"/>
      <c r="H32" s="20"/>
      <c r="I32" s="20"/>
      <c r="J32" s="20"/>
      <c r="K32" s="20"/>
      <c r="L32" s="130"/>
      <c r="M32" s="20">
        <f>[1]!CIP1072P265F2100</f>
        <v>0</v>
      </c>
      <c r="N32" s="6">
        <f>SUM(H31:L32)</f>
        <v>0</v>
      </c>
      <c r="O32" s="10" t="str">
        <f>IF(M32=0," ",(N32-M32)/M32)</f>
        <v> </v>
      </c>
      <c r="P32" s="2">
        <v>13</v>
      </c>
    </row>
    <row r="33" spans="1:16" ht="12.75">
      <c r="A33" s="65"/>
      <c r="B33" s="12"/>
      <c r="C33" s="12" t="s">
        <v>164</v>
      </c>
      <c r="D33" s="12"/>
      <c r="E33" s="16">
        <v>14</v>
      </c>
      <c r="F33" s="70">
        <f>[1]!CIP1072P265F2200PPL</f>
        <v>0</v>
      </c>
      <c r="G33" s="101"/>
      <c r="H33" s="102"/>
      <c r="I33" s="102"/>
      <c r="J33" s="102"/>
      <c r="K33" s="102"/>
      <c r="L33" s="102"/>
      <c r="M33" s="28">
        <f>[1]!CIP1072P265F2200</f>
        <v>0</v>
      </c>
      <c r="N33" s="6">
        <f aca="true" t="shared" si="4" ref="N33:N38">SUM(H33:L33)</f>
        <v>0</v>
      </c>
      <c r="O33" s="129" t="str">
        <f aca="true" t="shared" si="5" ref="O33:O39">IF(M33=0," ",(N33-M33)/M33)</f>
        <v> </v>
      </c>
      <c r="P33" s="68">
        <v>14</v>
      </c>
    </row>
    <row r="34" spans="1:16" ht="12.75">
      <c r="A34" s="65"/>
      <c r="B34" s="12"/>
      <c r="C34" s="12" t="s">
        <v>162</v>
      </c>
      <c r="D34" s="12"/>
      <c r="E34" s="16">
        <v>15</v>
      </c>
      <c r="F34" s="70">
        <f>[1]!CIP1072P265F2300PPL</f>
        <v>0</v>
      </c>
      <c r="G34" s="67"/>
      <c r="H34" s="28"/>
      <c r="I34" s="28"/>
      <c r="J34" s="28"/>
      <c r="K34" s="28"/>
      <c r="L34" s="28"/>
      <c r="M34" s="102">
        <f>[1]!CIP1072P265F2300</f>
        <v>0</v>
      </c>
      <c r="N34" s="15">
        <f t="shared" si="4"/>
        <v>0</v>
      </c>
      <c r="O34" s="103" t="str">
        <f t="shared" si="5"/>
        <v> </v>
      </c>
      <c r="P34" s="68">
        <v>15</v>
      </c>
    </row>
    <row r="35" spans="1:16" ht="12.75">
      <c r="A35" s="65"/>
      <c r="B35" s="12"/>
      <c r="C35" s="12" t="s">
        <v>163</v>
      </c>
      <c r="D35" s="12"/>
      <c r="E35" s="16">
        <v>16</v>
      </c>
      <c r="F35" s="70">
        <f>[1]!CIP1072P265F2400PPL</f>
        <v>0</v>
      </c>
      <c r="G35" s="67"/>
      <c r="H35" s="28"/>
      <c r="I35" s="28"/>
      <c r="J35" s="28"/>
      <c r="K35" s="28"/>
      <c r="L35" s="28"/>
      <c r="M35" s="102">
        <f>[1]!CIP1072P265F2400</f>
        <v>0</v>
      </c>
      <c r="N35" s="15">
        <f t="shared" si="4"/>
        <v>0</v>
      </c>
      <c r="O35" s="103" t="str">
        <f t="shared" si="5"/>
        <v> </v>
      </c>
      <c r="P35" s="68">
        <v>16</v>
      </c>
    </row>
    <row r="36" spans="1:16" ht="12.75">
      <c r="A36" s="65"/>
      <c r="B36" s="12"/>
      <c r="C36" s="12" t="s">
        <v>165</v>
      </c>
      <c r="D36" s="12"/>
      <c r="E36" s="16">
        <v>17</v>
      </c>
      <c r="F36" s="70">
        <f>[1]!CIP1072P265F2500PPL</f>
        <v>0</v>
      </c>
      <c r="G36" s="67"/>
      <c r="H36" s="28"/>
      <c r="I36" s="28"/>
      <c r="J36" s="28"/>
      <c r="K36" s="28"/>
      <c r="L36" s="28"/>
      <c r="M36" s="102">
        <f>[1]!CIP1072P265F2500</f>
        <v>0</v>
      </c>
      <c r="N36" s="15">
        <f t="shared" si="4"/>
        <v>0</v>
      </c>
      <c r="O36" s="103" t="str">
        <f t="shared" si="5"/>
        <v> </v>
      </c>
      <c r="P36" s="68">
        <v>17</v>
      </c>
    </row>
    <row r="37" spans="1:16" ht="12.75">
      <c r="A37" s="65"/>
      <c r="B37" s="12"/>
      <c r="C37" s="12" t="s">
        <v>166</v>
      </c>
      <c r="D37" s="12"/>
      <c r="E37" s="16">
        <v>18</v>
      </c>
      <c r="F37" s="69">
        <f>[1]!CIP1072P265F2600PPL</f>
        <v>0</v>
      </c>
      <c r="G37" s="69"/>
      <c r="H37" s="21"/>
      <c r="I37" s="21"/>
      <c r="J37" s="21"/>
      <c r="K37" s="21"/>
      <c r="L37" s="21"/>
      <c r="M37" s="102">
        <f>[1]!CIP1072P265F2600</f>
        <v>0</v>
      </c>
      <c r="N37" s="15">
        <f t="shared" si="4"/>
        <v>0</v>
      </c>
      <c r="O37" s="103" t="str">
        <f t="shared" si="5"/>
        <v> </v>
      </c>
      <c r="P37" s="68">
        <v>18</v>
      </c>
    </row>
    <row r="38" spans="1:16" ht="12.75">
      <c r="A38" s="65"/>
      <c r="B38" s="12"/>
      <c r="C38" s="12" t="s">
        <v>168</v>
      </c>
      <c r="D38" s="12"/>
      <c r="E38" s="16">
        <v>19</v>
      </c>
      <c r="F38" s="70">
        <f>[1]!CIP1072P265F2900PPL</f>
        <v>0</v>
      </c>
      <c r="G38" s="70"/>
      <c r="H38" s="20"/>
      <c r="I38" s="20"/>
      <c r="J38" s="20"/>
      <c r="K38" s="20"/>
      <c r="L38" s="20"/>
      <c r="M38" s="102">
        <f>[1]!CIP1072P265F2900</f>
        <v>0</v>
      </c>
      <c r="N38" s="15">
        <f t="shared" si="4"/>
        <v>0</v>
      </c>
      <c r="O38" s="103" t="str">
        <f t="shared" si="5"/>
        <v> </v>
      </c>
      <c r="P38" s="68">
        <v>19</v>
      </c>
    </row>
    <row r="39" spans="1:16" ht="12.75">
      <c r="A39" s="71"/>
      <c r="B39" s="104" t="s">
        <v>176</v>
      </c>
      <c r="C39" s="26"/>
      <c r="D39" s="26"/>
      <c r="E39" s="18">
        <v>20</v>
      </c>
      <c r="F39" s="140">
        <f>SUM(F29:F38)</f>
        <v>0</v>
      </c>
      <c r="G39" s="66">
        <f aca="true" t="shared" si="6" ref="G39:L39">SUM(G28:G38)</f>
        <v>0</v>
      </c>
      <c r="H39" s="6">
        <f t="shared" si="6"/>
        <v>0</v>
      </c>
      <c r="I39" s="6">
        <f t="shared" si="6"/>
        <v>0</v>
      </c>
      <c r="J39" s="6">
        <f t="shared" si="6"/>
        <v>0</v>
      </c>
      <c r="K39" s="6">
        <f t="shared" si="6"/>
        <v>0</v>
      </c>
      <c r="L39" s="6">
        <f t="shared" si="6"/>
        <v>0</v>
      </c>
      <c r="M39" s="127">
        <f>SUM(M29:M38)</f>
        <v>0</v>
      </c>
      <c r="N39" s="127">
        <f>SUM(N29:N38)</f>
        <v>0</v>
      </c>
      <c r="O39" s="128" t="str">
        <f t="shared" si="5"/>
        <v> </v>
      </c>
      <c r="P39" s="2">
        <v>20</v>
      </c>
    </row>
    <row r="40" spans="1:16" ht="12.75">
      <c r="A40" s="65"/>
      <c r="B40" s="85" t="s">
        <v>172</v>
      </c>
      <c r="C40" s="12"/>
      <c r="D40" s="12"/>
      <c r="E40" s="3"/>
      <c r="F40" s="138"/>
      <c r="G40" s="139"/>
      <c r="H40" s="97"/>
      <c r="I40" s="97"/>
      <c r="J40" s="97"/>
      <c r="K40" s="97"/>
      <c r="L40" s="99"/>
      <c r="M40" s="138"/>
      <c r="N40" s="138"/>
      <c r="O40" s="138"/>
      <c r="P40" s="2"/>
    </row>
    <row r="41" spans="1:16" ht="12.75">
      <c r="A41" s="65"/>
      <c r="B41" s="12"/>
      <c r="C41" s="12" t="s">
        <v>23</v>
      </c>
      <c r="D41" s="12"/>
      <c r="E41" s="3"/>
      <c r="F41" s="140"/>
      <c r="G41" s="141"/>
      <c r="H41" s="127"/>
      <c r="I41" s="127"/>
      <c r="J41" s="127"/>
      <c r="K41" s="127"/>
      <c r="L41" s="133"/>
      <c r="M41" s="127"/>
      <c r="N41" s="127"/>
      <c r="O41" s="134"/>
      <c r="P41" s="2"/>
    </row>
    <row r="42" spans="1:16" ht="12.75">
      <c r="A42" s="65"/>
      <c r="B42" s="12"/>
      <c r="C42" s="12" t="s">
        <v>169</v>
      </c>
      <c r="D42" s="12"/>
      <c r="E42" s="3">
        <v>21</v>
      </c>
      <c r="F42" s="70">
        <f>[1]!CIP1072P435F2700PPL</f>
        <v>0</v>
      </c>
      <c r="G42" s="137"/>
      <c r="H42" s="20"/>
      <c r="I42" s="20"/>
      <c r="J42" s="20"/>
      <c r="K42" s="20"/>
      <c r="L42" s="130"/>
      <c r="M42" s="20">
        <f>[1]!CIP1072P435F2700</f>
        <v>0</v>
      </c>
      <c r="N42" s="6">
        <f>SUM(H40:L42)</f>
        <v>0</v>
      </c>
      <c r="O42" s="135" t="str">
        <f>IF(M42=0," ",(N42-M42)/M42)</f>
        <v> </v>
      </c>
      <c r="P42" s="2">
        <v>21</v>
      </c>
    </row>
    <row r="43" spans="1:16" ht="12.75">
      <c r="A43" s="105" t="s">
        <v>177</v>
      </c>
      <c r="B43" s="72"/>
      <c r="C43" s="72"/>
      <c r="D43" s="72"/>
      <c r="E43" s="17">
        <v>22</v>
      </c>
      <c r="F43" s="66">
        <f>SUM(F39:F42)</f>
        <v>0</v>
      </c>
      <c r="G43" s="66">
        <f aca="true" t="shared" si="7" ref="G43:L43">SUM(G39:G42)</f>
        <v>0</v>
      </c>
      <c r="H43" s="15">
        <f t="shared" si="7"/>
        <v>0</v>
      </c>
      <c r="I43" s="15">
        <f t="shared" si="7"/>
        <v>0</v>
      </c>
      <c r="J43" s="15">
        <f t="shared" si="7"/>
        <v>0</v>
      </c>
      <c r="K43" s="15">
        <f t="shared" si="7"/>
        <v>0</v>
      </c>
      <c r="L43" s="15">
        <f t="shared" si="7"/>
        <v>0</v>
      </c>
      <c r="M43" s="6">
        <f>SUM(M39:M42)</f>
        <v>0</v>
      </c>
      <c r="N43" s="6">
        <f>SUM(N39:N42)</f>
        <v>0</v>
      </c>
      <c r="O43" s="135" t="str">
        <f>IF(M43=0," ",(N43-M43)/M43)</f>
        <v> </v>
      </c>
      <c r="P43" s="68">
        <v>22</v>
      </c>
    </row>
  </sheetData>
  <sheetProtection sheet="1"/>
  <mergeCells count="4">
    <mergeCell ref="D1:F1"/>
    <mergeCell ref="J1:K1"/>
    <mergeCell ref="N1:O1"/>
    <mergeCell ref="D3:D4"/>
  </mergeCells>
  <hyperlinks>
    <hyperlink ref="B7:D7" r:id="rId1" display="Structured English Immersion Project - 1071"/>
    <hyperlink ref="A7:D7" r:id="rId2" display="Structured English Immersion Project - 1071"/>
    <hyperlink ref="A28:D28" location="Pg4CompensatoryInstructionProj" display="Compensatory Instruction Project - 1072"/>
    <hyperlink ref="A7:F7" location="Pg4EnglishLanguageLearnerProj" display="Structured English Language Learner Immersion Project - 1071"/>
  </hyperlinks>
  <printOptions horizontalCentered="1" verticalCentered="1"/>
  <pageMargins left="0.75" right="0.5" top="0.25" bottom="0.25" header="0" footer="0"/>
  <pageSetup horizontalDpi="600" verticalDpi="600" orientation="landscape" paperSize="5" scale="76" r:id="rId4"/>
  <headerFooter>
    <oddFooter>&amp;L&amp;"Arial,Bold"Rev. 5/19 Arizona Department of Education and Auditor General&amp;R&amp;"Arial,Bold"Page 4 of 4</oddFooter>
  </headerFooter>
  <drawing r:id="rId3"/>
</worksheet>
</file>

<file path=xl/worksheets/sheet7.xml><?xml version="1.0" encoding="utf-8"?>
<worksheet xmlns="http://schemas.openxmlformats.org/spreadsheetml/2006/main" xmlns:r="http://schemas.openxmlformats.org/officeDocument/2006/relationships">
  <dimension ref="A1:N53"/>
  <sheetViews>
    <sheetView showGridLines="0" zoomScale="90" zoomScaleNormal="90" workbookViewId="0" topLeftCell="A1">
      <selection activeCell="D6" sqref="D6"/>
    </sheetView>
  </sheetViews>
  <sheetFormatPr defaultColWidth="9.140625" defaultRowHeight="12.75"/>
  <cols>
    <col min="1" max="2" width="1.57421875" style="145" customWidth="1"/>
    <col min="3" max="3" width="42.140625" style="145" customWidth="1"/>
    <col min="4" max="5" width="12.7109375" style="145" customWidth="1"/>
    <col min="6" max="6" width="9.7109375" style="145" customWidth="1"/>
    <col min="7" max="7" width="4.7109375" style="145" customWidth="1"/>
    <col min="8" max="8" width="27.28125" style="145" customWidth="1"/>
    <col min="9" max="9" width="5.28125" style="145" customWidth="1"/>
    <col min="10" max="12" width="12.7109375" style="145" customWidth="1"/>
    <col min="13" max="13" width="9.7109375" style="145" customWidth="1"/>
    <col min="14" max="16384" width="9.140625" style="145" customWidth="1"/>
  </cols>
  <sheetData>
    <row r="1" spans="1:12" ht="23.25" customHeight="1">
      <c r="A1" s="561" t="s">
        <v>501</v>
      </c>
      <c r="B1" s="561"/>
      <c r="C1" s="561"/>
      <c r="D1" s="561"/>
      <c r="E1" s="561"/>
      <c r="F1" s="561"/>
      <c r="G1" s="561"/>
      <c r="H1" s="561"/>
      <c r="I1" s="561"/>
      <c r="J1" s="561"/>
      <c r="K1" s="146" t="s">
        <v>190</v>
      </c>
      <c r="L1" s="147" t="str">
        <f>[0]!CTD</f>
        <v>078243000</v>
      </c>
    </row>
    <row r="2" ht="3.75" customHeight="1"/>
    <row r="3" spans="1:13" ht="12" customHeight="1">
      <c r="A3" s="163" t="s">
        <v>211</v>
      </c>
      <c r="B3" s="164"/>
      <c r="C3" s="164"/>
      <c r="D3" s="614" t="s">
        <v>61</v>
      </c>
      <c r="E3" s="615"/>
      <c r="F3" s="158" t="s">
        <v>63</v>
      </c>
      <c r="H3" s="605" t="str">
        <f>"The budget of "&amp;IF(Cover!$D$3=0,Cover!$D$1,Cover!$D$1&amp;" (d.b.a. "&amp;Cover!$D$3&amp;")")&amp;" for fiscal year 2020 was officially proposed by the Governing Board on "&amp;TEXT(Cover!$F$20,"mmmm dd, yyyy")&amp;". The complete budget may be reviewed by contacting "&amp;Cover!$O$15&amp;" at "&amp;Cover!$M$16&amp;" or "&amp;Cover!$P$16&amp;"."</f>
        <v>The budget of Scottsdale Country Day School for fiscal year 2020 was officially proposed by the Governing Board on June 11, 2019. The complete budget may be reviewed by contacting Steve Prahcharov at 4804525777 or steve@scdsaz.com.</v>
      </c>
      <c r="I3" s="606"/>
      <c r="J3" s="606"/>
      <c r="K3" s="606"/>
      <c r="L3" s="606"/>
      <c r="M3" s="607"/>
    </row>
    <row r="4" spans="1:13" ht="12" customHeight="1">
      <c r="A4" s="165"/>
      <c r="D4" s="158" t="s">
        <v>243</v>
      </c>
      <c r="E4" s="158" t="s">
        <v>55</v>
      </c>
      <c r="F4" s="166" t="s">
        <v>64</v>
      </c>
      <c r="H4" s="608"/>
      <c r="I4" s="609"/>
      <c r="J4" s="609"/>
      <c r="K4" s="609"/>
      <c r="L4" s="609"/>
      <c r="M4" s="610"/>
    </row>
    <row r="5" spans="1:13" ht="12" customHeight="1">
      <c r="A5" s="165" t="s">
        <v>21</v>
      </c>
      <c r="D5" s="517">
        <v>2019</v>
      </c>
      <c r="E5" s="517">
        <v>2020</v>
      </c>
      <c r="F5" s="167" t="s">
        <v>65</v>
      </c>
      <c r="H5" s="608"/>
      <c r="I5" s="609"/>
      <c r="J5" s="609"/>
      <c r="K5" s="609"/>
      <c r="L5" s="609"/>
      <c r="M5" s="610"/>
    </row>
    <row r="6" spans="1:13" ht="12" customHeight="1">
      <c r="A6" s="165"/>
      <c r="B6" s="145" t="s">
        <v>22</v>
      </c>
      <c r="D6" s="149">
        <f>SP1000P100F1000CY</f>
        <v>603683</v>
      </c>
      <c r="E6" s="149">
        <f>SP1000P100F1000</f>
        <v>589838</v>
      </c>
      <c r="F6" s="168">
        <f>IF(D6=0," ",(E6-D6)/D6)</f>
        <v>-0.023</v>
      </c>
      <c r="H6" s="608"/>
      <c r="I6" s="609"/>
      <c r="J6" s="609"/>
      <c r="K6" s="609"/>
      <c r="L6" s="609"/>
      <c r="M6" s="610"/>
    </row>
    <row r="7" spans="1:13" ht="12" customHeight="1">
      <c r="A7" s="165"/>
      <c r="B7" s="145" t="s">
        <v>23</v>
      </c>
      <c r="D7" s="150"/>
      <c r="E7" s="186"/>
      <c r="F7" s="187"/>
      <c r="H7" s="611"/>
      <c r="I7" s="612"/>
      <c r="J7" s="612"/>
      <c r="K7" s="612"/>
      <c r="L7" s="612"/>
      <c r="M7" s="613"/>
    </row>
    <row r="8" spans="1:11" ht="12" customHeight="1">
      <c r="A8" s="165"/>
      <c r="C8" s="145" t="s">
        <v>191</v>
      </c>
      <c r="D8" s="151">
        <f>SP1000P100F2100CY</f>
        <v>63167</v>
      </c>
      <c r="E8" s="185">
        <f>SP1000P100F2100</f>
        <v>72723</v>
      </c>
      <c r="F8" s="169">
        <f>IF(D8=0," ",(E8-D8)/D8)</f>
        <v>0.151</v>
      </c>
      <c r="H8" s="162"/>
      <c r="I8" s="162"/>
      <c r="J8" s="162"/>
      <c r="K8" s="162"/>
    </row>
    <row r="9" spans="1:13" ht="12" customHeight="1">
      <c r="A9" s="165"/>
      <c r="C9" s="145" t="s">
        <v>192</v>
      </c>
      <c r="D9" s="148">
        <f>SP1000P100F2200CY</f>
        <v>71369</v>
      </c>
      <c r="E9" s="148">
        <f>SP1000P100F2200</f>
        <v>79265</v>
      </c>
      <c r="F9" s="172">
        <f>IF(D9=0," ",(E9-D9)/D9)</f>
        <v>0.111</v>
      </c>
      <c r="H9" s="174"/>
      <c r="I9" s="164"/>
      <c r="J9" s="175"/>
      <c r="K9" s="616" t="s">
        <v>61</v>
      </c>
      <c r="L9" s="617"/>
      <c r="M9" s="158" t="s">
        <v>63</v>
      </c>
    </row>
    <row r="10" spans="1:13" ht="12" customHeight="1">
      <c r="A10" s="165"/>
      <c r="C10" s="145" t="s">
        <v>193</v>
      </c>
      <c r="D10" s="148">
        <f>SP1000P100F2300CY</f>
        <v>3900</v>
      </c>
      <c r="E10" s="148">
        <f>SP1000P100F2300</f>
        <v>4400</v>
      </c>
      <c r="F10" s="168">
        <f aca="true" t="shared" si="0" ref="F10:F21">IF(D10=0," ",(E10-D10)/D10)</f>
        <v>0.128</v>
      </c>
      <c r="H10" s="176" t="s">
        <v>205</v>
      </c>
      <c r="I10" s="180"/>
      <c r="J10" s="181"/>
      <c r="K10" s="158" t="s">
        <v>243</v>
      </c>
      <c r="L10" s="158" t="s">
        <v>55</v>
      </c>
      <c r="M10" s="166" t="s">
        <v>64</v>
      </c>
    </row>
    <row r="11" spans="1:13" ht="12" customHeight="1">
      <c r="A11" s="165"/>
      <c r="C11" s="145" t="s">
        <v>194</v>
      </c>
      <c r="D11" s="148">
        <f>SP1000P100F2400CY</f>
        <v>117021</v>
      </c>
      <c r="E11" s="148">
        <f>SP1000P100F2400</f>
        <v>121274</v>
      </c>
      <c r="F11" s="168">
        <f t="shared" si="0"/>
        <v>0.036</v>
      </c>
      <c r="H11" s="177"/>
      <c r="I11" s="182"/>
      <c r="J11" s="152"/>
      <c r="K11" s="517">
        <v>2019</v>
      </c>
      <c r="L11" s="517">
        <v>2020</v>
      </c>
      <c r="M11" s="167" t="s">
        <v>65</v>
      </c>
    </row>
    <row r="12" spans="1:13" ht="12" customHeight="1">
      <c r="A12" s="165"/>
      <c r="C12" s="145" t="s">
        <v>195</v>
      </c>
      <c r="D12" s="148">
        <f>SP1000P100F2500CY</f>
        <v>114840</v>
      </c>
      <c r="E12" s="148">
        <f>SP1000P100F2500</f>
        <v>132090</v>
      </c>
      <c r="F12" s="168">
        <f t="shared" si="0"/>
        <v>0.15</v>
      </c>
      <c r="H12" s="178" t="s">
        <v>262</v>
      </c>
      <c r="I12" s="146"/>
      <c r="J12" s="181"/>
      <c r="K12" s="149">
        <f>'Page 2'!M5</f>
        <v>79788</v>
      </c>
      <c r="L12" s="149">
        <f>'Page 2'!N5</f>
        <v>73713</v>
      </c>
      <c r="M12" s="168">
        <f aca="true" t="shared" si="1" ref="M12:M19">IF(K12=0," ",(L12-K12)/K12)</f>
        <v>-0.076</v>
      </c>
    </row>
    <row r="13" spans="1:13" ht="12" customHeight="1">
      <c r="A13" s="165"/>
      <c r="C13" s="145" t="s">
        <v>196</v>
      </c>
      <c r="D13" s="148">
        <f>SP1000P100F2600CY</f>
        <v>187412</v>
      </c>
      <c r="E13" s="148">
        <f>SP1000P100F2600</f>
        <v>205958</v>
      </c>
      <c r="F13" s="168">
        <f t="shared" si="0"/>
        <v>0.099</v>
      </c>
      <c r="H13" s="178" t="s">
        <v>33</v>
      </c>
      <c r="I13" s="146"/>
      <c r="J13" s="181"/>
      <c r="K13" s="149">
        <f>P200GiftedEducationCY</f>
        <v>0</v>
      </c>
      <c r="L13" s="148">
        <f>P200GiftedEducation</f>
        <v>0</v>
      </c>
      <c r="M13" s="168" t="str">
        <f t="shared" si="1"/>
        <v> </v>
      </c>
    </row>
    <row r="14" spans="1:13" ht="12" customHeight="1">
      <c r="A14" s="165"/>
      <c r="C14" s="145" t="s">
        <v>197</v>
      </c>
      <c r="D14" s="148">
        <f>SP1000P100F2900CY</f>
        <v>0</v>
      </c>
      <c r="E14" s="148">
        <f>SP1000P100F2900</f>
        <v>0</v>
      </c>
      <c r="F14" s="168" t="str">
        <f t="shared" si="0"/>
        <v> </v>
      </c>
      <c r="H14" s="178" t="s">
        <v>145</v>
      </c>
      <c r="I14" s="146"/>
      <c r="J14" s="181"/>
      <c r="K14" s="149">
        <f>P200ELLIncrementalCostsCY</f>
        <v>0</v>
      </c>
      <c r="L14" s="148">
        <f>P200ELLIncrementalCosts</f>
        <v>0</v>
      </c>
      <c r="M14" s="168" t="str">
        <f t="shared" si="1"/>
        <v> </v>
      </c>
    </row>
    <row r="15" spans="1:13" ht="12" customHeight="1">
      <c r="A15" s="165"/>
      <c r="B15" s="145" t="s">
        <v>26</v>
      </c>
      <c r="D15" s="148">
        <f>SP1000P100F3000CY</f>
        <v>62162</v>
      </c>
      <c r="E15" s="148">
        <f>SP1000P100F3000</f>
        <v>71471</v>
      </c>
      <c r="F15" s="168">
        <f t="shared" si="0"/>
        <v>0.15</v>
      </c>
      <c r="H15" s="178" t="s">
        <v>146</v>
      </c>
      <c r="I15" s="146"/>
      <c r="J15" s="181"/>
      <c r="K15" s="148">
        <f>P200ELLCompensatoryInstructionCY</f>
        <v>0</v>
      </c>
      <c r="L15" s="148">
        <f>P200ELLCompensatoryInstruction</f>
        <v>0</v>
      </c>
      <c r="M15" s="168" t="str">
        <f t="shared" si="1"/>
        <v> </v>
      </c>
    </row>
    <row r="16" spans="1:13" ht="12" customHeight="1">
      <c r="A16" s="165"/>
      <c r="B16" s="145" t="s">
        <v>150</v>
      </c>
      <c r="D16" s="148">
        <f>SP1000P100F4000CY</f>
        <v>0</v>
      </c>
      <c r="E16" s="148">
        <f>SP1000P100F4000</f>
        <v>0</v>
      </c>
      <c r="F16" s="168" t="str">
        <f t="shared" si="0"/>
        <v> </v>
      </c>
      <c r="H16" s="178" t="s">
        <v>34</v>
      </c>
      <c r="I16" s="146"/>
      <c r="J16" s="181"/>
      <c r="K16" s="148">
        <f>P200RemedialEducationCY</f>
        <v>0</v>
      </c>
      <c r="L16" s="148">
        <f>P200RemedialEducation</f>
        <v>0</v>
      </c>
      <c r="M16" s="168" t="str">
        <f t="shared" si="1"/>
        <v> </v>
      </c>
    </row>
    <row r="17" spans="1:13" ht="12" customHeight="1">
      <c r="A17" s="165"/>
      <c r="B17" s="145" t="s">
        <v>27</v>
      </c>
      <c r="D17" s="148">
        <f>SP1000P100F5000CY</f>
        <v>0</v>
      </c>
      <c r="E17" s="148">
        <f>SP1000P100F5000</f>
        <v>0</v>
      </c>
      <c r="F17" s="168" t="str">
        <f t="shared" si="0"/>
        <v> </v>
      </c>
      <c r="H17" s="518" t="s">
        <v>498</v>
      </c>
      <c r="I17" s="146"/>
      <c r="J17" s="181"/>
      <c r="K17" s="148">
        <f>P200VocationalandTechnologicalEdCY</f>
        <v>0</v>
      </c>
      <c r="L17" s="148">
        <f>P200VocationalandTechnologicalEd</f>
        <v>0</v>
      </c>
      <c r="M17" s="168" t="str">
        <f t="shared" si="1"/>
        <v> </v>
      </c>
    </row>
    <row r="18" spans="1:13" ht="12" customHeight="1">
      <c r="A18" s="165" t="s">
        <v>76</v>
      </c>
      <c r="D18" s="148">
        <f>SP1000P610CY</f>
        <v>0</v>
      </c>
      <c r="E18" s="148">
        <f>SP1000P610</f>
        <v>0</v>
      </c>
      <c r="F18" s="168" t="str">
        <f t="shared" si="0"/>
        <v> </v>
      </c>
      <c r="H18" s="178" t="s">
        <v>35</v>
      </c>
      <c r="I18" s="146"/>
      <c r="J18" s="181"/>
      <c r="K18" s="161">
        <f>P200CareerEducationCY</f>
        <v>0</v>
      </c>
      <c r="L18" s="161">
        <f>P200CareerEducation</f>
        <v>0</v>
      </c>
      <c r="M18" s="168" t="str">
        <f t="shared" si="1"/>
        <v> </v>
      </c>
    </row>
    <row r="19" spans="1:13" ht="12" customHeight="1">
      <c r="A19" s="165" t="s">
        <v>78</v>
      </c>
      <c r="D19" s="148">
        <f>SP1000P620CY</f>
        <v>0</v>
      </c>
      <c r="E19" s="148">
        <f>SP1000P620</f>
        <v>0</v>
      </c>
      <c r="F19" s="168" t="str">
        <f t="shared" si="0"/>
        <v> </v>
      </c>
      <c r="H19" s="618" t="s">
        <v>202</v>
      </c>
      <c r="I19" s="619"/>
      <c r="J19" s="619"/>
      <c r="K19" s="148">
        <f>SUM(K12:K18)</f>
        <v>79788</v>
      </c>
      <c r="L19" s="148">
        <f>SUM(L12:L18)</f>
        <v>73713</v>
      </c>
      <c r="M19" s="171">
        <f t="shared" si="1"/>
        <v>-0.076</v>
      </c>
    </row>
    <row r="20" spans="1:13" ht="12" customHeight="1">
      <c r="A20" s="165" t="s">
        <v>77</v>
      </c>
      <c r="D20" s="148">
        <f>SP1000P630700800900CY</f>
        <v>59016</v>
      </c>
      <c r="E20" s="148">
        <f>SP1000P630700800900</f>
        <v>73294</v>
      </c>
      <c r="F20" s="168">
        <f t="shared" si="0"/>
        <v>0.242</v>
      </c>
      <c r="H20" s="146"/>
      <c r="I20" s="146"/>
      <c r="K20" s="224"/>
      <c r="L20" s="224"/>
      <c r="M20" s="225"/>
    </row>
    <row r="21" spans="1:13" ht="12" customHeight="1">
      <c r="A21" s="170"/>
      <c r="B21" s="147" t="s">
        <v>198</v>
      </c>
      <c r="C21" s="152"/>
      <c r="D21" s="148">
        <f>SUM(D6:D20)</f>
        <v>1282570</v>
      </c>
      <c r="E21" s="148">
        <f>SUM(E6:E20)</f>
        <v>1350313</v>
      </c>
      <c r="F21" s="168">
        <f t="shared" si="0"/>
        <v>0.053</v>
      </c>
      <c r="H21" s="601" t="s">
        <v>210</v>
      </c>
      <c r="I21" s="602"/>
      <c r="J21" s="602"/>
      <c r="K21" s="602"/>
      <c r="L21" s="603"/>
      <c r="M21" s="225"/>
    </row>
    <row r="22" spans="1:13" ht="12" customHeight="1">
      <c r="A22" s="165" t="s">
        <v>28</v>
      </c>
      <c r="D22" s="150"/>
      <c r="E22" s="186"/>
      <c r="F22" s="187"/>
      <c r="H22" s="165"/>
      <c r="J22" s="622" t="s">
        <v>61</v>
      </c>
      <c r="K22" s="623"/>
      <c r="L22" s="166" t="s">
        <v>63</v>
      </c>
      <c r="M22" s="225"/>
    </row>
    <row r="23" spans="1:13" ht="12" customHeight="1">
      <c r="A23" s="165"/>
      <c r="B23" s="145" t="s">
        <v>22</v>
      </c>
      <c r="D23" s="153">
        <f>SP1000P200F1000CY</f>
        <v>10283</v>
      </c>
      <c r="E23" s="188">
        <f>SP1000P200F1000</f>
        <v>5100</v>
      </c>
      <c r="F23" s="169">
        <f>IF(D23=0," ",(E23-D23)/D23)</f>
        <v>-0.504</v>
      </c>
      <c r="H23" s="165"/>
      <c r="J23" s="159" t="s">
        <v>243</v>
      </c>
      <c r="K23" s="159" t="s">
        <v>55</v>
      </c>
      <c r="L23" s="166" t="s">
        <v>64</v>
      </c>
      <c r="M23" s="225"/>
    </row>
    <row r="24" spans="1:13" ht="12" customHeight="1">
      <c r="A24" s="165"/>
      <c r="B24" s="145" t="s">
        <v>23</v>
      </c>
      <c r="D24" s="154"/>
      <c r="E24" s="154"/>
      <c r="F24" s="172"/>
      <c r="H24" s="179"/>
      <c r="J24" s="517">
        <v>2019</v>
      </c>
      <c r="K24" s="517">
        <v>2020</v>
      </c>
      <c r="L24" s="167" t="s">
        <v>65</v>
      </c>
      <c r="M24" s="225"/>
    </row>
    <row r="25" spans="1:13" ht="12" customHeight="1">
      <c r="A25" s="165"/>
      <c r="C25" s="145" t="s">
        <v>191</v>
      </c>
      <c r="D25" s="149">
        <f>SP1000P200F2100CY</f>
        <v>19556</v>
      </c>
      <c r="E25" s="149">
        <f>SP1000P200F2100</f>
        <v>27833</v>
      </c>
      <c r="F25" s="169">
        <f aca="true" t="shared" si="2" ref="F25:F41">IF(D25=0," ",(E25-D25)/D25)</f>
        <v>0.423</v>
      </c>
      <c r="H25" s="173" t="s">
        <v>206</v>
      </c>
      <c r="I25" s="155"/>
      <c r="J25" s="149">
        <f>SP1000TotalCY</f>
        <v>1379466</v>
      </c>
      <c r="K25" s="149">
        <f>SP1000Total</f>
        <v>1441956</v>
      </c>
      <c r="L25" s="171">
        <f>IF(J25=0," ",(K25-J25)/J25)</f>
        <v>0.045</v>
      </c>
      <c r="M25" s="225"/>
    </row>
    <row r="26" spans="1:13" ht="12" customHeight="1">
      <c r="A26" s="165"/>
      <c r="C26" s="145" t="s">
        <v>192</v>
      </c>
      <c r="D26" s="149">
        <f>SP1000P200F2200CY</f>
        <v>38853</v>
      </c>
      <c r="E26" s="149">
        <f>SP1000P200F2200</f>
        <v>40780</v>
      </c>
      <c r="F26" s="172">
        <f t="shared" si="2"/>
        <v>0.05</v>
      </c>
      <c r="H26" s="173" t="s">
        <v>203</v>
      </c>
      <c r="I26" s="155"/>
      <c r="J26" s="148">
        <f>SP1000ClassSiteProjCY</f>
        <v>84394</v>
      </c>
      <c r="K26" s="148">
        <f>SP1000ClassSiteProj</f>
        <v>86281</v>
      </c>
      <c r="L26" s="171">
        <f aca="true" t="shared" si="3" ref="L26:L33">IF(J26=0," ",(K26-J26)/J26)</f>
        <v>0.022</v>
      </c>
      <c r="M26" s="225"/>
    </row>
    <row r="27" spans="1:13" ht="12" customHeight="1">
      <c r="A27" s="165"/>
      <c r="C27" s="145" t="s">
        <v>193</v>
      </c>
      <c r="D27" s="149">
        <f>SP1000P200F2300CY</f>
        <v>0</v>
      </c>
      <c r="E27" s="149">
        <f>SP1000P200F2300</f>
        <v>0</v>
      </c>
      <c r="F27" s="168" t="str">
        <f t="shared" si="2"/>
        <v> </v>
      </c>
      <c r="H27" s="173" t="s">
        <v>212</v>
      </c>
      <c r="I27" s="155"/>
      <c r="J27" s="148">
        <f>SP1000InstrImpProjCY</f>
        <v>9506</v>
      </c>
      <c r="K27" s="148">
        <f>SP1000InstrImpProj</f>
        <v>9662</v>
      </c>
      <c r="L27" s="171">
        <f t="shared" si="3"/>
        <v>0.016</v>
      </c>
      <c r="M27" s="225"/>
    </row>
    <row r="28" spans="1:13" ht="12" customHeight="1">
      <c r="A28" s="165"/>
      <c r="C28" s="145" t="s">
        <v>194</v>
      </c>
      <c r="D28" s="149">
        <f>SP1000P200F2400CY</f>
        <v>0</v>
      </c>
      <c r="E28" s="149">
        <f>SP1000P200F2400</f>
        <v>0</v>
      </c>
      <c r="F28" s="168" t="str">
        <f t="shared" si="2"/>
        <v> </v>
      </c>
      <c r="H28" s="105" t="s">
        <v>502</v>
      </c>
      <c r="I28" s="155"/>
      <c r="J28" s="148">
        <f>SP1000StruEngImmProjCY</f>
        <v>0</v>
      </c>
      <c r="K28" s="148">
        <f>SP1000StruEngImmProj</f>
        <v>0</v>
      </c>
      <c r="L28" s="171" t="str">
        <f t="shared" si="3"/>
        <v> </v>
      </c>
      <c r="M28" s="225"/>
    </row>
    <row r="29" spans="1:13" ht="12" customHeight="1">
      <c r="A29" s="165"/>
      <c r="C29" s="145" t="s">
        <v>195</v>
      </c>
      <c r="D29" s="149">
        <f>SP1000P200F2500CY</f>
        <v>2075</v>
      </c>
      <c r="E29" s="149">
        <f>SP1000P200F2500</f>
        <v>0</v>
      </c>
      <c r="F29" s="168">
        <f t="shared" si="2"/>
        <v>-1</v>
      </c>
      <c r="H29" s="173" t="s">
        <v>146</v>
      </c>
      <c r="I29" s="155"/>
      <c r="J29" s="148">
        <f>SP1000CompInstrProjCY</f>
        <v>0</v>
      </c>
      <c r="K29" s="148">
        <f>SP1000CompInstrProj</f>
        <v>0</v>
      </c>
      <c r="L29" s="171" t="str">
        <f t="shared" si="3"/>
        <v> </v>
      </c>
      <c r="M29" s="225"/>
    </row>
    <row r="30" spans="1:13" ht="12" customHeight="1">
      <c r="A30" s="165"/>
      <c r="C30" s="145" t="s">
        <v>196</v>
      </c>
      <c r="D30" s="149">
        <f>SP1000P200F2600CY</f>
        <v>9021</v>
      </c>
      <c r="E30" s="149">
        <f>SP1000P200F2600</f>
        <v>0</v>
      </c>
      <c r="F30" s="168">
        <f t="shared" si="2"/>
        <v>-1</v>
      </c>
      <c r="H30" s="173" t="s">
        <v>207</v>
      </c>
      <c r="I30" s="155"/>
      <c r="J30" s="148">
        <f>TotalFederalProjectsCY</f>
        <v>22928</v>
      </c>
      <c r="K30" s="148">
        <f>TotalFederalProjects</f>
        <v>22902</v>
      </c>
      <c r="L30" s="171">
        <f t="shared" si="3"/>
        <v>-0.001</v>
      </c>
      <c r="M30" s="225"/>
    </row>
    <row r="31" spans="1:13" ht="12" customHeight="1">
      <c r="A31" s="165"/>
      <c r="C31" s="145" t="s">
        <v>197</v>
      </c>
      <c r="D31" s="149">
        <f>SP1000P200F2900CY</f>
        <v>0</v>
      </c>
      <c r="E31" s="149">
        <f>SP1000P200F2900</f>
        <v>0</v>
      </c>
      <c r="F31" s="168" t="str">
        <f t="shared" si="2"/>
        <v> </v>
      </c>
      <c r="H31" s="173" t="s">
        <v>208</v>
      </c>
      <c r="I31" s="155"/>
      <c r="J31" s="148">
        <f>TotalStateProjectsCY</f>
        <v>0</v>
      </c>
      <c r="K31" s="148">
        <f>TotalStateProjects</f>
        <v>0</v>
      </c>
      <c r="L31" s="171" t="str">
        <f t="shared" si="3"/>
        <v> </v>
      </c>
      <c r="M31" s="225"/>
    </row>
    <row r="32" spans="1:13" ht="12" customHeight="1">
      <c r="A32" s="165"/>
      <c r="B32" s="145" t="s">
        <v>26</v>
      </c>
      <c r="D32" s="149">
        <f>SP1000P200F3000CY</f>
        <v>0</v>
      </c>
      <c r="E32" s="149">
        <f>SP1000P200F3000</f>
        <v>0</v>
      </c>
      <c r="F32" s="168" t="str">
        <f t="shared" si="2"/>
        <v> </v>
      </c>
      <c r="H32" s="173" t="s">
        <v>209</v>
      </c>
      <c r="I32" s="155"/>
      <c r="J32" s="148">
        <f>TotalCapitalAcquisitionsCY</f>
        <v>0</v>
      </c>
      <c r="K32" s="148">
        <f>TotalCapitalAcquisitions</f>
        <v>0</v>
      </c>
      <c r="L32" s="171" t="str">
        <f t="shared" si="3"/>
        <v> </v>
      </c>
      <c r="M32" s="225"/>
    </row>
    <row r="33" spans="1:12" ht="12" customHeight="1">
      <c r="A33" s="165"/>
      <c r="B33" s="145" t="s">
        <v>150</v>
      </c>
      <c r="D33" s="149">
        <f>SP1000P200F4000CY</f>
        <v>0</v>
      </c>
      <c r="E33" s="149">
        <f>SP1000P200F4000</f>
        <v>0</v>
      </c>
      <c r="F33" s="168" t="str">
        <f t="shared" si="2"/>
        <v> </v>
      </c>
      <c r="H33" s="173" t="s">
        <v>204</v>
      </c>
      <c r="I33" s="155"/>
      <c r="J33" s="148">
        <f>SUM(J25:J32)</f>
        <v>1496294</v>
      </c>
      <c r="K33" s="148">
        <f>SUM(K25:K32)</f>
        <v>1560801</v>
      </c>
      <c r="L33" s="171">
        <f t="shared" si="3"/>
        <v>0.043</v>
      </c>
    </row>
    <row r="34" spans="1:6" ht="12" customHeight="1">
      <c r="A34" s="165"/>
      <c r="B34" s="145" t="s">
        <v>27</v>
      </c>
      <c r="D34" s="149">
        <f>SP1000P200F5000CY</f>
        <v>0</v>
      </c>
      <c r="E34" s="149">
        <f>SP1000P200F5000</f>
        <v>0</v>
      </c>
      <c r="F34" s="168" t="str">
        <f t="shared" si="2"/>
        <v> </v>
      </c>
    </row>
    <row r="35" spans="1:14" ht="12" customHeight="1">
      <c r="A35" s="165"/>
      <c r="B35" s="145" t="s">
        <v>199</v>
      </c>
      <c r="C35" s="181"/>
      <c r="D35" s="161">
        <f>SUM(D23:D34)</f>
        <v>79788</v>
      </c>
      <c r="E35" s="161">
        <f>SUM(E23:E34)</f>
        <v>73713</v>
      </c>
      <c r="F35" s="168">
        <f t="shared" si="2"/>
        <v>-0.076</v>
      </c>
      <c r="H35" s="604" t="s">
        <v>327</v>
      </c>
      <c r="I35" s="604"/>
      <c r="J35" s="604"/>
      <c r="K35" s="604"/>
      <c r="L35" s="604"/>
      <c r="M35" s="633">
        <f>IF(L37&lt;1,"Enter Average Salary on the Budget Cover","")</f>
      </c>
      <c r="N35" s="501"/>
    </row>
    <row r="36" spans="1:14" ht="0.75" customHeight="1">
      <c r="A36" s="170" t="s">
        <v>200</v>
      </c>
      <c r="B36" s="147"/>
      <c r="C36" s="152"/>
      <c r="D36" s="149"/>
      <c r="E36" s="149"/>
      <c r="F36" s="169"/>
      <c r="J36" s="236"/>
      <c r="K36" s="236"/>
      <c r="L36" s="236"/>
      <c r="M36" s="633"/>
      <c r="N36" s="501"/>
    </row>
    <row r="37" spans="1:14" ht="12" customHeight="1">
      <c r="A37" s="173" t="s">
        <v>29</v>
      </c>
      <c r="B37" s="155"/>
      <c r="C37" s="156"/>
      <c r="D37" s="148">
        <f>SP1000P400CY</f>
        <v>0</v>
      </c>
      <c r="E37" s="148">
        <f>SP1000P400</f>
        <v>0</v>
      </c>
      <c r="F37" s="171" t="str">
        <f t="shared" si="2"/>
        <v> </v>
      </c>
      <c r="H37" s="620" t="s">
        <v>503</v>
      </c>
      <c r="I37" s="620"/>
      <c r="J37" s="620"/>
      <c r="K37" s="620"/>
      <c r="L37" s="252">
        <f>BudgetYearSalary</f>
        <v>47011</v>
      </c>
      <c r="M37" s="633"/>
      <c r="N37" s="501"/>
    </row>
    <row r="38" spans="1:14" ht="12" customHeight="1">
      <c r="A38" s="173" t="s">
        <v>30</v>
      </c>
      <c r="B38" s="155"/>
      <c r="C38" s="156"/>
      <c r="D38" s="148">
        <f>SP1000P530CY</f>
        <v>0</v>
      </c>
      <c r="E38" s="148">
        <f>SP1000P530</f>
        <v>0</v>
      </c>
      <c r="F38" s="171" t="str">
        <f t="shared" si="2"/>
        <v> </v>
      </c>
      <c r="H38" s="620" t="s">
        <v>504</v>
      </c>
      <c r="I38" s="620"/>
      <c r="J38" s="620"/>
      <c r="K38" s="620"/>
      <c r="L38" s="252">
        <f>PriorYearSalary</f>
        <v>45455</v>
      </c>
      <c r="M38" s="633"/>
      <c r="N38" s="501"/>
    </row>
    <row r="39" spans="1:14" ht="12" customHeight="1">
      <c r="A39" s="173" t="s">
        <v>201</v>
      </c>
      <c r="B39" s="155"/>
      <c r="C39" s="156"/>
      <c r="D39" s="148">
        <f>SP1000P540CY</f>
        <v>0</v>
      </c>
      <c r="E39" s="148">
        <f>SP1000P540</f>
        <v>0</v>
      </c>
      <c r="F39" s="171" t="str">
        <f t="shared" si="2"/>
        <v> </v>
      </c>
      <c r="H39" s="620" t="s">
        <v>505</v>
      </c>
      <c r="I39" s="620"/>
      <c r="J39" s="620"/>
      <c r="K39" s="620"/>
      <c r="L39" s="252">
        <f>SalaryIncreaseFromPriorYear</f>
        <v>1556</v>
      </c>
      <c r="M39" s="633"/>
      <c r="N39" s="501"/>
    </row>
    <row r="40" spans="1:14" ht="12" customHeight="1">
      <c r="A40" s="170" t="s">
        <v>213</v>
      </c>
      <c r="B40" s="147"/>
      <c r="C40" s="152"/>
      <c r="D40" s="148">
        <f>SP1000P550CY</f>
        <v>17108</v>
      </c>
      <c r="E40" s="148">
        <f>SP1000P550</f>
        <v>17930</v>
      </c>
      <c r="F40" s="171">
        <f t="shared" si="2"/>
        <v>0.048</v>
      </c>
      <c r="H40" s="621" t="s">
        <v>282</v>
      </c>
      <c r="I40" s="621"/>
      <c r="J40" s="621"/>
      <c r="K40" s="621"/>
      <c r="L40" s="257">
        <f>SalaryPercentageIncrease</f>
        <v>0.034</v>
      </c>
      <c r="M40" s="633"/>
      <c r="N40" s="501"/>
    </row>
    <row r="41" spans="1:13" ht="12" customHeight="1">
      <c r="A41" s="170"/>
      <c r="B41" s="147"/>
      <c r="C41" s="152" t="s">
        <v>202</v>
      </c>
      <c r="D41" s="149">
        <f>SUM(D35:D40)+D21</f>
        <v>1379466</v>
      </c>
      <c r="E41" s="149">
        <f>SUM(E35:E40)+E21</f>
        <v>1441956</v>
      </c>
      <c r="F41" s="171">
        <f t="shared" si="2"/>
        <v>0.045</v>
      </c>
      <c r="H41" s="624" t="str">
        <f>IF(AverageSalaryCalculationComment&lt;&gt;"",AverageSalaryCalculationComment,"")</f>
        <v>Comments on average salary calculation (optional):</v>
      </c>
      <c r="I41" s="625"/>
      <c r="J41" s="625"/>
      <c r="K41" s="625"/>
      <c r="L41" s="626"/>
      <c r="M41" s="633"/>
    </row>
    <row r="42" spans="4:13" ht="12" customHeight="1">
      <c r="D42" s="224"/>
      <c r="E42" s="224"/>
      <c r="F42" s="225"/>
      <c r="H42" s="627"/>
      <c r="I42" s="628"/>
      <c r="J42" s="628"/>
      <c r="K42" s="628"/>
      <c r="L42" s="629"/>
      <c r="M42" s="633"/>
    </row>
    <row r="43" spans="8:13" ht="12" customHeight="1">
      <c r="H43" s="627"/>
      <c r="I43" s="628"/>
      <c r="J43" s="628"/>
      <c r="K43" s="628"/>
      <c r="L43" s="629"/>
      <c r="M43" s="633"/>
    </row>
    <row r="44" spans="8:13" ht="12" customHeight="1">
      <c r="H44" s="627"/>
      <c r="I44" s="628"/>
      <c r="J44" s="628"/>
      <c r="K44" s="628"/>
      <c r="L44" s="629"/>
      <c r="M44" s="633"/>
    </row>
    <row r="45" spans="8:13" ht="12" customHeight="1">
      <c r="H45" s="630"/>
      <c r="I45" s="631"/>
      <c r="J45" s="631"/>
      <c r="K45" s="631"/>
      <c r="L45" s="632"/>
      <c r="M45" s="633"/>
    </row>
    <row r="46" spans="8:13" ht="12" customHeight="1">
      <c r="H46" s="519" t="s">
        <v>468</v>
      </c>
      <c r="I46" s="520"/>
      <c r="J46" s="520"/>
      <c r="K46" s="520"/>
      <c r="L46" s="521">
        <f>FY18Average</f>
        <v>41961</v>
      </c>
      <c r="M46" s="502"/>
    </row>
    <row r="47" spans="8:13" ht="12" customHeight="1">
      <c r="H47" s="519" t="s">
        <v>469</v>
      </c>
      <c r="I47" s="520"/>
      <c r="J47" s="520"/>
      <c r="K47" s="520"/>
      <c r="L47" s="522">
        <f>IncreaseSinceFY18</f>
        <v>0.12</v>
      </c>
      <c r="M47" s="502"/>
    </row>
    <row r="48" ht="12.75" customHeight="1"/>
    <row r="49" ht="12.75" customHeight="1"/>
    <row r="50" ht="12.75" customHeight="1"/>
    <row r="51" ht="12.75" customHeight="1"/>
    <row r="52" ht="12.75" customHeight="1"/>
    <row r="53" spans="8:10" ht="12.75" customHeight="1">
      <c r="H53" s="157"/>
      <c r="J53" s="160"/>
    </row>
    <row r="54" ht="12.75" customHeight="1"/>
    <row r="55" ht="12.75" customHeight="1"/>
  </sheetData>
  <sheetProtection sheet="1"/>
  <mergeCells count="14">
    <mergeCell ref="H39:K39"/>
    <mergeCell ref="H40:K40"/>
    <mergeCell ref="J22:K22"/>
    <mergeCell ref="H37:K37"/>
    <mergeCell ref="H41:L45"/>
    <mergeCell ref="M35:M45"/>
    <mergeCell ref="H38:K38"/>
    <mergeCell ref="H21:L21"/>
    <mergeCell ref="H35:L35"/>
    <mergeCell ref="A1:J1"/>
    <mergeCell ref="H3:M7"/>
    <mergeCell ref="D3:E3"/>
    <mergeCell ref="K9:L9"/>
    <mergeCell ref="H19:J19"/>
  </mergeCells>
  <printOptions horizontalCentered="1" verticalCentered="1"/>
  <pageMargins left="0.75" right="0.5" top="0.25" bottom="0.25" header="0" footer="0"/>
  <pageSetup horizontalDpi="600" verticalDpi="600" orientation="landscape" paperSize="5" scale="76" r:id="rId2"/>
  <headerFooter>
    <oddFooter>&amp;L&amp;"Arial,Bold"Rev. 5/19 Arizona Department of Education and Auditor General&amp;R&amp;"Arial,Bold"Budget Summary</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78"/>
  <sheetViews>
    <sheetView showGridLines="0" zoomScale="90" zoomScaleNormal="90" zoomScaleSheetLayoutView="100" workbookViewId="0" topLeftCell="A67">
      <selection activeCell="N77" sqref="N77"/>
    </sheetView>
  </sheetViews>
  <sheetFormatPr defaultColWidth="9.140625" defaultRowHeight="12.75"/>
  <cols>
    <col min="1" max="2" width="3.421875" style="85" customWidth="1"/>
    <col min="3" max="3" width="5.421875" style="85" customWidth="1"/>
    <col min="4" max="4" width="6.421875" style="85" customWidth="1"/>
    <col min="5" max="5" width="31.140625" style="85" customWidth="1"/>
    <col min="6" max="6" width="1.57421875" style="85" customWidth="1"/>
    <col min="7" max="7" width="12.57421875" style="85" customWidth="1"/>
    <col min="8" max="8" width="1.57421875" style="85" customWidth="1"/>
    <col min="9" max="10" width="12.57421875" style="85" customWidth="1"/>
    <col min="11" max="11" width="1.57421875" style="85" customWidth="1"/>
    <col min="12" max="12" width="10.7109375" style="85" customWidth="1"/>
    <col min="13" max="15" width="12.57421875" style="85" customWidth="1"/>
    <col min="16" max="19" width="10.7109375" style="85" customWidth="1"/>
    <col min="20" max="16384" width="9.140625" style="85" customWidth="1"/>
  </cols>
  <sheetData>
    <row r="1" spans="1:16" ht="12.75">
      <c r="A1" s="295" t="s">
        <v>0</v>
      </c>
      <c r="B1" s="295"/>
      <c r="C1" s="295"/>
      <c r="D1" s="295"/>
      <c r="E1" s="484" t="str">
        <f>Cover!D1</f>
        <v>Scottsdale Country Day School</v>
      </c>
      <c r="F1" s="292"/>
      <c r="G1" s="107"/>
      <c r="I1" s="107"/>
      <c r="K1" s="290" t="s">
        <v>1</v>
      </c>
      <c r="L1" s="402" t="str">
        <f>Cover!M1</f>
        <v>Maricopa</v>
      </c>
      <c r="M1" s="401"/>
      <c r="N1" s="291"/>
      <c r="O1" s="290" t="s">
        <v>89</v>
      </c>
      <c r="P1" s="395" t="str">
        <f>CTD</f>
        <v>078243000</v>
      </c>
    </row>
    <row r="5" spans="1:29" ht="15.75">
      <c r="A5" s="460" t="s">
        <v>448</v>
      </c>
      <c r="C5" s="285"/>
      <c r="D5" s="283"/>
      <c r="E5" s="282"/>
      <c r="F5" s="282"/>
      <c r="Q5" s="561"/>
      <c r="R5" s="561"/>
      <c r="S5" s="561"/>
      <c r="T5" s="561"/>
      <c r="U5" s="561"/>
      <c r="V5" s="561"/>
      <c r="W5" s="561"/>
      <c r="X5" s="561"/>
      <c r="Y5" s="561"/>
      <c r="Z5" s="561"/>
      <c r="AA5" s="561"/>
      <c r="AB5" s="561"/>
      <c r="AC5" s="561"/>
    </row>
    <row r="7" spans="1:15" s="456" customFormat="1" ht="46.5" customHeight="1">
      <c r="A7" s="474">
        <f>IF(B8="X","X",IF(B9="x","x",IF(B10="X","X",IF(B11="X","X",""))))</f>
      </c>
      <c r="B7" s="635" t="s">
        <v>447</v>
      </c>
      <c r="C7" s="635"/>
      <c r="D7" s="635"/>
      <c r="E7" s="635"/>
      <c r="F7" s="635"/>
      <c r="G7" s="635"/>
      <c r="H7" s="635"/>
      <c r="I7" s="635"/>
      <c r="J7" s="635"/>
      <c r="K7" s="635"/>
      <c r="L7" s="635"/>
      <c r="M7" s="635"/>
      <c r="N7" s="635"/>
      <c r="O7" s="455"/>
    </row>
    <row r="8" spans="1:15" ht="27" customHeight="1">
      <c r="A8" s="283"/>
      <c r="B8" s="346"/>
      <c r="D8" s="672" t="s">
        <v>383</v>
      </c>
      <c r="E8" s="672"/>
      <c r="F8" s="672"/>
      <c r="G8" s="672"/>
      <c r="H8" s="672"/>
      <c r="I8" s="672"/>
      <c r="J8" s="672"/>
      <c r="K8" s="672"/>
      <c r="L8" s="672"/>
      <c r="M8" s="672"/>
      <c r="N8" s="672"/>
      <c r="O8" s="286"/>
    </row>
    <row r="9" spans="1:15" ht="27.75" customHeight="1" thickBot="1">
      <c r="A9" s="283"/>
      <c r="B9" s="347"/>
      <c r="D9" s="672" t="s">
        <v>384</v>
      </c>
      <c r="E9" s="672"/>
      <c r="F9" s="672"/>
      <c r="G9" s="672"/>
      <c r="H9" s="672"/>
      <c r="I9" s="672"/>
      <c r="J9" s="672"/>
      <c r="K9" s="672"/>
      <c r="L9" s="672"/>
      <c r="M9" s="672"/>
      <c r="N9" s="672"/>
      <c r="O9" s="286"/>
    </row>
    <row r="10" spans="1:15" ht="27.75" customHeight="1" thickBot="1">
      <c r="A10" s="283"/>
      <c r="B10" s="348"/>
      <c r="D10" s="672" t="s">
        <v>385</v>
      </c>
      <c r="E10" s="672"/>
      <c r="F10" s="672"/>
      <c r="G10" s="672"/>
      <c r="H10" s="672"/>
      <c r="I10" s="672"/>
      <c r="J10" s="672"/>
      <c r="K10" s="672"/>
      <c r="L10" s="672"/>
      <c r="M10" s="672"/>
      <c r="N10" s="672"/>
      <c r="O10" s="286"/>
    </row>
    <row r="11" spans="1:15" ht="27.75" customHeight="1" thickBot="1">
      <c r="A11" s="283"/>
      <c r="B11" s="348"/>
      <c r="D11" s="299" t="s">
        <v>386</v>
      </c>
      <c r="E11" s="118"/>
      <c r="F11" s="118"/>
      <c r="G11" s="299"/>
      <c r="H11" s="299"/>
      <c r="I11" s="299"/>
      <c r="J11" s="349"/>
      <c r="K11" s="349"/>
      <c r="L11" s="349"/>
      <c r="M11" s="350"/>
      <c r="N11" s="350"/>
      <c r="O11" s="350"/>
    </row>
    <row r="12" spans="1:15" ht="12.75">
      <c r="A12" s="283"/>
      <c r="B12" s="283"/>
      <c r="C12" s="351"/>
      <c r="D12" s="351"/>
      <c r="E12" s="351"/>
      <c r="F12" s="351"/>
      <c r="G12" s="351"/>
      <c r="H12" s="351"/>
      <c r="I12" s="351"/>
      <c r="J12" s="351"/>
      <c r="K12" s="351"/>
      <c r="L12" s="351"/>
      <c r="M12" s="351"/>
      <c r="N12" s="351"/>
      <c r="O12" s="351"/>
    </row>
    <row r="13" spans="2:5" ht="12.75">
      <c r="B13" s="282" t="s">
        <v>437</v>
      </c>
      <c r="C13" s="282"/>
      <c r="D13" s="282"/>
      <c r="E13" s="282"/>
    </row>
    <row r="14" spans="2:14" ht="80.25" customHeight="1">
      <c r="B14" s="636" t="s">
        <v>506</v>
      </c>
      <c r="C14" s="636"/>
      <c r="D14" s="636"/>
      <c r="E14" s="636"/>
      <c r="F14" s="636"/>
      <c r="G14" s="636"/>
      <c r="H14" s="636"/>
      <c r="I14" s="636"/>
      <c r="J14" s="636"/>
      <c r="K14" s="636"/>
      <c r="L14" s="636"/>
      <c r="M14" s="636"/>
      <c r="N14" s="636"/>
    </row>
    <row r="15" spans="2:14" ht="13.5" customHeight="1">
      <c r="B15" s="462"/>
      <c r="C15" s="462"/>
      <c r="D15" s="462"/>
      <c r="E15" s="462"/>
      <c r="F15" s="462"/>
      <c r="G15" s="462"/>
      <c r="H15" s="462"/>
      <c r="I15" s="462"/>
      <c r="J15" s="462"/>
      <c r="K15" s="462"/>
      <c r="L15" s="462"/>
      <c r="M15" s="462"/>
      <c r="N15" s="462"/>
    </row>
    <row r="16" spans="2:13" ht="12.75">
      <c r="B16" s="663" t="s">
        <v>387</v>
      </c>
      <c r="C16" s="663"/>
      <c r="D16" s="663"/>
      <c r="E16" s="663"/>
      <c r="F16" s="656" t="s">
        <v>332</v>
      </c>
      <c r="G16" s="657"/>
      <c r="H16" s="656" t="s">
        <v>333</v>
      </c>
      <c r="I16" s="671"/>
      <c r="J16" s="657"/>
      <c r="K16" s="664" t="s">
        <v>334</v>
      </c>
      <c r="L16" s="665"/>
      <c r="M16" s="666"/>
    </row>
    <row r="17" spans="2:14" ht="12.75">
      <c r="B17" s="646" t="s">
        <v>346</v>
      </c>
      <c r="C17" s="647"/>
      <c r="D17" s="647"/>
      <c r="E17" s="648"/>
      <c r="F17" s="654"/>
      <c r="G17" s="655"/>
      <c r="H17" s="489"/>
      <c r="I17" s="658">
        <v>158</v>
      </c>
      <c r="J17" s="655"/>
      <c r="K17" s="352"/>
      <c r="L17" s="658"/>
      <c r="M17" s="655"/>
      <c r="N17" s="325"/>
    </row>
    <row r="18" spans="2:14" ht="12.75">
      <c r="B18" s="649" t="s">
        <v>388</v>
      </c>
      <c r="C18" s="650"/>
      <c r="D18" s="650"/>
      <c r="E18" s="651"/>
      <c r="F18" s="312"/>
      <c r="G18" s="313"/>
      <c r="H18" s="298" t="s">
        <v>344</v>
      </c>
      <c r="I18" s="652"/>
      <c r="J18" s="653"/>
      <c r="K18" s="306" t="s">
        <v>344</v>
      </c>
      <c r="L18" s="639"/>
      <c r="M18" s="640"/>
      <c r="N18" s="325"/>
    </row>
    <row r="19" spans="2:13" ht="12.75">
      <c r="B19" s="649" t="s">
        <v>389</v>
      </c>
      <c r="C19" s="650"/>
      <c r="D19" s="650"/>
      <c r="E19" s="651"/>
      <c r="F19" s="312"/>
      <c r="G19" s="313"/>
      <c r="H19" s="298" t="s">
        <v>344</v>
      </c>
      <c r="I19" s="652"/>
      <c r="J19" s="653"/>
      <c r="K19" s="306" t="s">
        <v>344</v>
      </c>
      <c r="L19" s="639"/>
      <c r="M19" s="640"/>
    </row>
    <row r="20" spans="2:13" ht="12.75">
      <c r="B20" s="673" t="s">
        <v>390</v>
      </c>
      <c r="C20" s="674"/>
      <c r="D20" s="674"/>
      <c r="E20" s="675"/>
      <c r="F20" s="105" t="s">
        <v>340</v>
      </c>
      <c r="G20" s="360">
        <f>F17</f>
        <v>0</v>
      </c>
      <c r="H20" s="280" t="s">
        <v>340</v>
      </c>
      <c r="I20" s="667">
        <f>I17+I18+I19</f>
        <v>158</v>
      </c>
      <c r="J20" s="668"/>
      <c r="K20" s="105" t="s">
        <v>340</v>
      </c>
      <c r="L20" s="667">
        <f>L17+L18+L19</f>
        <v>0</v>
      </c>
      <c r="M20" s="668"/>
    </row>
    <row r="22" spans="2:13" ht="12.75">
      <c r="B22" s="282" t="s">
        <v>438</v>
      </c>
      <c r="C22"/>
      <c r="D22"/>
      <c r="E22"/>
      <c r="F22"/>
      <c r="G22"/>
      <c r="H22"/>
      <c r="I22"/>
      <c r="J22"/>
      <c r="K22"/>
      <c r="L22"/>
      <c r="M22"/>
    </row>
    <row r="23" spans="2:14" ht="26.25" customHeight="1">
      <c r="B23" s="636" t="s">
        <v>443</v>
      </c>
      <c r="C23" s="636"/>
      <c r="D23" s="636"/>
      <c r="E23" s="636"/>
      <c r="F23" s="636"/>
      <c r="G23" s="636"/>
      <c r="H23" s="636"/>
      <c r="I23" s="636"/>
      <c r="J23" s="636"/>
      <c r="K23" s="636"/>
      <c r="L23" s="636"/>
      <c r="M23" s="636"/>
      <c r="N23" s="636"/>
    </row>
    <row r="24" spans="2:13" ht="12.75">
      <c r="B24" s="457"/>
      <c r="C24" s="458"/>
      <c r="D24" s="458"/>
      <c r="E24" s="458"/>
      <c r="F24" s="458"/>
      <c r="G24" s="458"/>
      <c r="H24" s="458"/>
      <c r="I24" s="458"/>
      <c r="J24" s="458"/>
      <c r="K24" s="458"/>
      <c r="L24" s="458"/>
      <c r="M24" s="458"/>
    </row>
    <row r="25" spans="2:13" ht="12.75">
      <c r="B25" s="459" t="s">
        <v>387</v>
      </c>
      <c r="C25" s="459"/>
      <c r="D25" s="459"/>
      <c r="E25" s="459"/>
      <c r="F25" s="656" t="s">
        <v>332</v>
      </c>
      <c r="G25" s="657"/>
      <c r="H25" s="656" t="s">
        <v>333</v>
      </c>
      <c r="I25" s="671"/>
      <c r="J25" s="657"/>
      <c r="K25" s="664" t="s">
        <v>334</v>
      </c>
      <c r="L25" s="665"/>
      <c r="M25" s="666"/>
    </row>
    <row r="26" spans="2:16" ht="12.75">
      <c r="B26" s="280" t="s">
        <v>346</v>
      </c>
      <c r="C26" s="104"/>
      <c r="D26" s="361"/>
      <c r="F26" s="354"/>
      <c r="G26" s="490"/>
      <c r="I26" s="637"/>
      <c r="J26" s="638"/>
      <c r="K26" s="280"/>
      <c r="L26" s="637"/>
      <c r="M26" s="638"/>
      <c r="P26" s="107"/>
    </row>
    <row r="27" spans="2:13" ht="12.75">
      <c r="B27" s="105" t="s">
        <v>388</v>
      </c>
      <c r="C27" s="279"/>
      <c r="D27" s="365"/>
      <c r="E27" s="293"/>
      <c r="F27" s="314"/>
      <c r="G27" s="315"/>
      <c r="H27" s="279" t="s">
        <v>344</v>
      </c>
      <c r="I27" s="652"/>
      <c r="J27" s="653"/>
      <c r="K27" s="105" t="s">
        <v>344</v>
      </c>
      <c r="L27" s="639"/>
      <c r="M27" s="640"/>
    </row>
    <row r="28" spans="2:13" ht="12.75">
      <c r="B28" s="105" t="s">
        <v>389</v>
      </c>
      <c r="C28" s="279"/>
      <c r="D28" s="279"/>
      <c r="E28" s="294"/>
      <c r="F28" s="314"/>
      <c r="G28" s="315"/>
      <c r="H28" s="279" t="s">
        <v>344</v>
      </c>
      <c r="I28" s="652"/>
      <c r="J28" s="653"/>
      <c r="K28" s="105" t="s">
        <v>344</v>
      </c>
      <c r="L28" s="639"/>
      <c r="M28" s="640"/>
    </row>
    <row r="29" spans="2:13" ht="12.75">
      <c r="B29" s="280" t="s">
        <v>390</v>
      </c>
      <c r="C29" s="104"/>
      <c r="D29" s="361"/>
      <c r="E29" s="280"/>
      <c r="F29" s="280" t="s">
        <v>340</v>
      </c>
      <c r="G29" s="360">
        <f>G26</f>
        <v>0</v>
      </c>
      <c r="H29" s="105" t="s">
        <v>340</v>
      </c>
      <c r="I29" s="667">
        <f>I26+I27+I28</f>
        <v>0</v>
      </c>
      <c r="J29" s="668"/>
      <c r="K29" s="105" t="s">
        <v>340</v>
      </c>
      <c r="L29" s="659">
        <f>L26+L27+L28</f>
        <v>0</v>
      </c>
      <c r="M29" s="660"/>
    </row>
    <row r="30" ht="12.75">
      <c r="B30" s="302"/>
    </row>
    <row r="31" spans="1:11" ht="12.75">
      <c r="A31" s="367"/>
      <c r="B31" s="367"/>
      <c r="C31" s="304"/>
      <c r="D31" s="304"/>
      <c r="E31" s="303"/>
      <c r="F31" s="303"/>
      <c r="G31" s="304"/>
      <c r="H31" s="304"/>
      <c r="I31" s="368"/>
      <c r="K31" s="368"/>
    </row>
    <row r="32" spans="1:15" ht="15" customHeight="1">
      <c r="A32" s="461" t="s">
        <v>415</v>
      </c>
      <c r="C32" s="282"/>
      <c r="D32" s="282"/>
      <c r="E32" s="282"/>
      <c r="G32" s="331"/>
      <c r="H32" s="331"/>
      <c r="I32" s="331"/>
      <c r="J32" s="331"/>
      <c r="K32" s="331"/>
      <c r="L32" s="331"/>
      <c r="M32" s="331"/>
      <c r="N32" s="331"/>
      <c r="O32" s="331"/>
    </row>
    <row r="33" spans="1:15" ht="12.75" customHeight="1">
      <c r="A33" s="461"/>
      <c r="C33" s="282"/>
      <c r="D33" s="282"/>
      <c r="E33" s="282"/>
      <c r="G33" s="331"/>
      <c r="H33" s="331"/>
      <c r="I33" s="331"/>
      <c r="J33" s="331"/>
      <c r="K33" s="331"/>
      <c r="L33" s="331"/>
      <c r="M33" s="331"/>
      <c r="N33" s="331"/>
      <c r="O33" s="331"/>
    </row>
    <row r="34" spans="1:15" ht="12.75" customHeight="1">
      <c r="A34" s="461"/>
      <c r="B34" s="282" t="s">
        <v>349</v>
      </c>
      <c r="C34" s="282"/>
      <c r="D34" s="282"/>
      <c r="E34" s="282"/>
      <c r="G34" s="331"/>
      <c r="H34" s="331"/>
      <c r="I34" s="331"/>
      <c r="J34" s="331"/>
      <c r="K34" s="331"/>
      <c r="L34" s="331"/>
      <c r="M34" s="331"/>
      <c r="N34" s="331"/>
      <c r="O34" s="331"/>
    </row>
    <row r="35" spans="1:15" ht="134.25" customHeight="1">
      <c r="A35" s="282"/>
      <c r="B35" s="634" t="s">
        <v>524</v>
      </c>
      <c r="C35" s="634"/>
      <c r="D35" s="634"/>
      <c r="E35" s="634"/>
      <c r="F35" s="634"/>
      <c r="G35" s="634"/>
      <c r="H35" s="634"/>
      <c r="I35" s="634"/>
      <c r="J35" s="634"/>
      <c r="K35" s="634"/>
      <c r="L35" s="634"/>
      <c r="M35" s="634"/>
      <c r="N35" s="634"/>
      <c r="O35" s="331"/>
    </row>
    <row r="36" spans="1:15" ht="12.75" customHeight="1">
      <c r="A36" s="282"/>
      <c r="B36" s="454"/>
      <c r="C36" s="454"/>
      <c r="D36" s="454"/>
      <c r="E36" s="454"/>
      <c r="F36" s="454"/>
      <c r="G36" s="454"/>
      <c r="H36" s="454"/>
      <c r="I36" s="454"/>
      <c r="J36" s="454"/>
      <c r="K36" s="454"/>
      <c r="L36" s="454"/>
      <c r="M36" s="454"/>
      <c r="N36" s="454"/>
      <c r="O36" s="331"/>
    </row>
    <row r="37" spans="2:21" ht="51.75" customHeight="1">
      <c r="B37" s="463"/>
      <c r="C37" s="464"/>
      <c r="D37" s="464"/>
      <c r="E37" s="464"/>
      <c r="F37" s="300"/>
      <c r="G37" s="300"/>
      <c r="H37" s="300"/>
      <c r="I37" s="403" t="s">
        <v>346</v>
      </c>
      <c r="J37" s="403" t="s">
        <v>347</v>
      </c>
      <c r="K37" s="669" t="s">
        <v>348</v>
      </c>
      <c r="L37" s="670"/>
      <c r="M37" s="328"/>
      <c r="N37" s="300"/>
      <c r="O37" s="328"/>
      <c r="P37" s="328"/>
      <c r="Q37" s="300"/>
      <c r="R37" s="328"/>
      <c r="S37" s="328"/>
      <c r="U37" s="254"/>
    </row>
    <row r="38" spans="1:19" ht="12.75">
      <c r="A38" s="287"/>
      <c r="B38" s="287">
        <v>1</v>
      </c>
      <c r="C38" s="301" t="s">
        <v>350</v>
      </c>
      <c r="D38" s="300"/>
      <c r="E38" s="300"/>
      <c r="F38" s="300"/>
      <c r="G38" s="300"/>
      <c r="H38" s="300"/>
      <c r="I38" s="440">
        <v>108</v>
      </c>
      <c r="J38" s="439"/>
      <c r="K38" s="641"/>
      <c r="L38" s="642"/>
      <c r="M38" s="438"/>
      <c r="N38" s="332"/>
      <c r="O38" s="370"/>
      <c r="P38" s="438"/>
      <c r="Q38" s="300"/>
      <c r="R38" s="370"/>
      <c r="S38" s="438"/>
    </row>
    <row r="39" spans="1:19" ht="12.75">
      <c r="A39" s="287"/>
      <c r="B39" s="287">
        <v>2</v>
      </c>
      <c r="C39" s="301" t="s">
        <v>351</v>
      </c>
      <c r="D39" s="300"/>
      <c r="E39" s="300"/>
      <c r="F39" s="300"/>
      <c r="G39" s="300"/>
      <c r="H39" s="300"/>
      <c r="I39" s="440">
        <v>108</v>
      </c>
      <c r="J39" s="439"/>
      <c r="K39" s="641"/>
      <c r="L39" s="642"/>
      <c r="M39" s="438"/>
      <c r="N39" s="332"/>
      <c r="O39" s="370"/>
      <c r="P39" s="438"/>
      <c r="Q39" s="300"/>
      <c r="R39" s="370"/>
      <c r="S39" s="438"/>
    </row>
    <row r="40" spans="1:19" ht="12.75">
      <c r="A40" s="287"/>
      <c r="B40" s="287">
        <v>3</v>
      </c>
      <c r="C40" s="301" t="s">
        <v>352</v>
      </c>
      <c r="D40" s="300"/>
      <c r="E40" s="300"/>
      <c r="F40" s="300"/>
      <c r="G40" s="300"/>
      <c r="H40" s="300"/>
      <c r="I40" s="440"/>
      <c r="J40" s="439"/>
      <c r="K40" s="641"/>
      <c r="L40" s="642"/>
      <c r="M40" s="438"/>
      <c r="N40" s="332"/>
      <c r="O40" s="370"/>
      <c r="P40" s="438"/>
      <c r="Q40" s="300"/>
      <c r="R40" s="370"/>
      <c r="S40" s="438"/>
    </row>
    <row r="41" spans="1:19" ht="12.75">
      <c r="A41" s="287"/>
      <c r="B41" s="287">
        <v>4</v>
      </c>
      <c r="C41" s="301" t="s">
        <v>353</v>
      </c>
      <c r="D41" s="300"/>
      <c r="E41" s="300"/>
      <c r="F41" s="300"/>
      <c r="G41" s="300"/>
      <c r="H41" s="300"/>
      <c r="I41" s="440"/>
      <c r="J41" s="439"/>
      <c r="K41" s="641"/>
      <c r="L41" s="642"/>
      <c r="M41" s="438"/>
      <c r="N41" s="332"/>
      <c r="O41" s="370"/>
      <c r="P41" s="438"/>
      <c r="Q41" s="300"/>
      <c r="R41" s="370"/>
      <c r="S41" s="438"/>
    </row>
    <row r="42" spans="1:19" ht="12.75">
      <c r="A42" s="287"/>
      <c r="B42" s="287">
        <v>5</v>
      </c>
      <c r="C42" s="301" t="s">
        <v>477</v>
      </c>
      <c r="D42" s="300"/>
      <c r="E42" s="300"/>
      <c r="F42" s="300"/>
      <c r="G42" s="300"/>
      <c r="H42" s="300"/>
      <c r="I42" s="440"/>
      <c r="J42" s="439"/>
      <c r="K42" s="641"/>
      <c r="L42" s="642"/>
      <c r="M42" s="438"/>
      <c r="N42" s="332"/>
      <c r="O42" s="370"/>
      <c r="P42" s="438"/>
      <c r="Q42" s="300"/>
      <c r="R42" s="370"/>
      <c r="S42" s="438"/>
    </row>
    <row r="43" spans="1:19" ht="12.75">
      <c r="A43" s="287"/>
      <c r="B43" s="287">
        <v>6</v>
      </c>
      <c r="C43" s="301" t="s">
        <v>478</v>
      </c>
      <c r="D43" s="300"/>
      <c r="E43" s="300"/>
      <c r="F43" s="300"/>
      <c r="G43" s="300"/>
      <c r="H43" s="300"/>
      <c r="I43" s="440"/>
      <c r="J43" s="439"/>
      <c r="K43" s="641"/>
      <c r="L43" s="642"/>
      <c r="M43" s="438"/>
      <c r="N43" s="332"/>
      <c r="O43" s="370"/>
      <c r="P43" s="438"/>
      <c r="Q43" s="300"/>
      <c r="R43" s="370"/>
      <c r="S43" s="438"/>
    </row>
    <row r="44" spans="1:19" ht="12.75">
      <c r="A44" s="287"/>
      <c r="B44" s="287">
        <v>7</v>
      </c>
      <c r="C44" s="301" t="s">
        <v>354</v>
      </c>
      <c r="D44" s="300"/>
      <c r="E44" s="300"/>
      <c r="F44" s="300"/>
      <c r="G44" s="300"/>
      <c r="H44" s="300"/>
      <c r="I44" s="440"/>
      <c r="J44" s="439"/>
      <c r="K44" s="641"/>
      <c r="L44" s="642"/>
      <c r="M44" s="438"/>
      <c r="N44" s="332"/>
      <c r="O44" s="370"/>
      <c r="P44" s="438"/>
      <c r="Q44" s="300"/>
      <c r="R44" s="370"/>
      <c r="S44" s="438"/>
    </row>
    <row r="45" spans="1:19" ht="12.75">
      <c r="A45" s="287"/>
      <c r="B45" s="287">
        <v>8</v>
      </c>
      <c r="C45" s="301" t="s">
        <v>355</v>
      </c>
      <c r="D45" s="300"/>
      <c r="E45" s="300"/>
      <c r="F45" s="300"/>
      <c r="G45" s="300"/>
      <c r="H45" s="300"/>
      <c r="I45" s="440"/>
      <c r="J45" s="439"/>
      <c r="K45" s="641"/>
      <c r="L45" s="642"/>
      <c r="M45" s="438"/>
      <c r="N45" s="332"/>
      <c r="O45" s="370"/>
      <c r="P45" s="438"/>
      <c r="Q45" s="300"/>
      <c r="R45" s="370"/>
      <c r="S45" s="438"/>
    </row>
    <row r="46" spans="1:19" ht="12.75">
      <c r="A46" s="287"/>
      <c r="B46" s="287">
        <v>9</v>
      </c>
      <c r="C46" s="301" t="s">
        <v>356</v>
      </c>
      <c r="D46" s="300"/>
      <c r="E46" s="300"/>
      <c r="F46" s="300"/>
      <c r="G46" s="300"/>
      <c r="H46" s="300"/>
      <c r="I46" s="440"/>
      <c r="J46" s="439"/>
      <c r="K46" s="641"/>
      <c r="L46" s="642"/>
      <c r="M46" s="438"/>
      <c r="N46" s="332"/>
      <c r="O46" s="370"/>
      <c r="P46" s="438"/>
      <c r="Q46" s="300"/>
      <c r="R46" s="370"/>
      <c r="S46" s="438"/>
    </row>
    <row r="47" spans="1:19" ht="12.75">
      <c r="A47" s="287"/>
      <c r="B47" s="287">
        <v>10</v>
      </c>
      <c r="C47" s="301" t="s">
        <v>357</v>
      </c>
      <c r="D47" s="300"/>
      <c r="E47" s="300"/>
      <c r="F47" s="300"/>
      <c r="G47" s="300"/>
      <c r="H47" s="300"/>
      <c r="I47" s="440"/>
      <c r="J47" s="442"/>
      <c r="K47" s="643"/>
      <c r="L47" s="644"/>
      <c r="M47" s="438"/>
      <c r="N47" s="332"/>
      <c r="O47" s="370"/>
      <c r="P47" s="438"/>
      <c r="Q47" s="300"/>
      <c r="R47" s="370"/>
      <c r="S47" s="438"/>
    </row>
    <row r="48" spans="1:19" ht="12.75">
      <c r="A48" s="287"/>
      <c r="B48" s="287">
        <v>11</v>
      </c>
      <c r="C48" s="301" t="s">
        <v>479</v>
      </c>
      <c r="D48" s="300"/>
      <c r="E48" s="300"/>
      <c r="F48" s="300"/>
      <c r="G48" s="300"/>
      <c r="H48" s="300"/>
      <c r="I48" s="440">
        <v>8</v>
      </c>
      <c r="J48" s="439"/>
      <c r="K48" s="641"/>
      <c r="L48" s="642"/>
      <c r="M48" s="438"/>
      <c r="N48" s="332"/>
      <c r="O48" s="370"/>
      <c r="P48" s="438"/>
      <c r="Q48" s="300"/>
      <c r="R48" s="370"/>
      <c r="S48" s="438"/>
    </row>
    <row r="49" spans="1:19" ht="12.75">
      <c r="A49" s="287"/>
      <c r="B49" s="287">
        <v>12</v>
      </c>
      <c r="C49" s="301" t="s">
        <v>358</v>
      </c>
      <c r="D49" s="300"/>
      <c r="E49" s="300"/>
      <c r="F49" s="300"/>
      <c r="G49" s="300"/>
      <c r="H49" s="300"/>
      <c r="I49" s="440"/>
      <c r="J49" s="439"/>
      <c r="K49" s="641"/>
      <c r="L49" s="642"/>
      <c r="M49" s="438"/>
      <c r="N49" s="332"/>
      <c r="O49" s="370"/>
      <c r="P49" s="438"/>
      <c r="Q49" s="300"/>
      <c r="R49" s="370"/>
      <c r="S49" s="438"/>
    </row>
    <row r="50" spans="1:19" ht="12.75">
      <c r="A50" s="287"/>
      <c r="B50" s="287">
        <v>13</v>
      </c>
      <c r="C50" s="301" t="s">
        <v>359</v>
      </c>
      <c r="D50" s="300"/>
      <c r="E50" s="300"/>
      <c r="F50" s="300"/>
      <c r="G50" s="300"/>
      <c r="H50" s="300"/>
      <c r="I50" s="440"/>
      <c r="J50" s="439"/>
      <c r="K50" s="641"/>
      <c r="L50" s="642"/>
      <c r="M50" s="438"/>
      <c r="N50" s="332"/>
      <c r="O50" s="370"/>
      <c r="P50" s="438"/>
      <c r="Q50" s="300"/>
      <c r="R50" s="370"/>
      <c r="S50" s="438"/>
    </row>
    <row r="51" spans="1:19" ht="12.75">
      <c r="A51" s="287"/>
      <c r="B51" s="287">
        <v>14</v>
      </c>
      <c r="C51" s="301" t="s">
        <v>360</v>
      </c>
      <c r="D51" s="300"/>
      <c r="E51" s="300"/>
      <c r="F51" s="300"/>
      <c r="G51" s="300"/>
      <c r="H51" s="300"/>
      <c r="I51" s="440"/>
      <c r="J51" s="439"/>
      <c r="K51" s="641"/>
      <c r="L51" s="642"/>
      <c r="M51" s="438"/>
      <c r="N51" s="332"/>
      <c r="O51" s="370"/>
      <c r="P51" s="438"/>
      <c r="Q51" s="300"/>
      <c r="R51" s="370"/>
      <c r="S51" s="438"/>
    </row>
    <row r="52" spans="1:19" ht="12.75">
      <c r="A52" s="287"/>
      <c r="B52" s="287">
        <v>15</v>
      </c>
      <c r="C52" s="300" t="s">
        <v>440</v>
      </c>
      <c r="D52" s="300"/>
      <c r="E52" s="300"/>
      <c r="F52" s="300"/>
      <c r="G52" s="300"/>
      <c r="H52" s="300"/>
      <c r="I52" s="441">
        <f>SUM(I38:I51)</f>
        <v>224</v>
      </c>
      <c r="J52" s="433">
        <f>SUM(J38:J51)</f>
        <v>0</v>
      </c>
      <c r="K52" s="661">
        <f>SUM(K38:K51)</f>
        <v>0</v>
      </c>
      <c r="L52" s="662"/>
      <c r="M52" s="438"/>
      <c r="N52" s="332"/>
      <c r="O52" s="332"/>
      <c r="P52" s="438"/>
      <c r="Q52" s="300"/>
      <c r="R52" s="438"/>
      <c r="S52" s="438"/>
    </row>
    <row r="53" spans="1:19" ht="12.75">
      <c r="A53" s="287"/>
      <c r="B53" s="287" t="s">
        <v>470</v>
      </c>
      <c r="C53" s="300"/>
      <c r="D53" s="300"/>
      <c r="E53" s="300"/>
      <c r="F53" s="300"/>
      <c r="G53" s="300"/>
      <c r="H53" s="300"/>
      <c r="I53" s="503"/>
      <c r="J53" s="504"/>
      <c r="K53" s="505"/>
      <c r="L53" s="505"/>
      <c r="M53" s="438"/>
      <c r="N53" s="332"/>
      <c r="O53" s="332"/>
      <c r="P53" s="438"/>
      <c r="Q53" s="300"/>
      <c r="R53" s="438"/>
      <c r="S53" s="438"/>
    </row>
    <row r="54" spans="1:19" ht="14.25" customHeight="1">
      <c r="A54" s="287"/>
      <c r="B54" s="506" t="s">
        <v>474</v>
      </c>
      <c r="C54" s="301" t="s">
        <v>471</v>
      </c>
      <c r="D54" s="301"/>
      <c r="E54" s="301"/>
      <c r="F54" s="301"/>
      <c r="G54" s="301"/>
      <c r="H54" s="301"/>
      <c r="I54" s="507"/>
      <c r="J54" s="508"/>
      <c r="K54" s="509"/>
      <c r="L54" s="509"/>
      <c r="M54" s="510"/>
      <c r="N54" s="511"/>
      <c r="O54" s="332"/>
      <c r="P54" s="438"/>
      <c r="Q54" s="300"/>
      <c r="R54" s="438"/>
      <c r="S54" s="438"/>
    </row>
    <row r="55" spans="1:19" ht="14.25" customHeight="1">
      <c r="A55" s="287"/>
      <c r="B55" s="506" t="s">
        <v>475</v>
      </c>
      <c r="C55" s="301" t="s">
        <v>472</v>
      </c>
      <c r="D55" s="301"/>
      <c r="E55" s="301"/>
      <c r="F55" s="301"/>
      <c r="G55" s="301"/>
      <c r="H55" s="301"/>
      <c r="I55" s="507"/>
      <c r="J55" s="508"/>
      <c r="K55" s="509"/>
      <c r="L55" s="509"/>
      <c r="M55" s="510"/>
      <c r="N55" s="511"/>
      <c r="O55" s="332"/>
      <c r="P55" s="438"/>
      <c r="Q55" s="300"/>
      <c r="R55" s="438"/>
      <c r="S55" s="438"/>
    </row>
    <row r="56" spans="1:19" ht="12.75">
      <c r="A56" s="287"/>
      <c r="B56" s="506" t="s">
        <v>476</v>
      </c>
      <c r="C56" s="645" t="s">
        <v>473</v>
      </c>
      <c r="D56" s="645"/>
      <c r="E56" s="645"/>
      <c r="F56" s="645"/>
      <c r="G56" s="645"/>
      <c r="H56" s="645"/>
      <c r="I56" s="645"/>
      <c r="J56" s="645"/>
      <c r="K56" s="645"/>
      <c r="L56" s="645"/>
      <c r="M56" s="645"/>
      <c r="N56" s="645"/>
      <c r="O56" s="332"/>
      <c r="P56" s="438"/>
      <c r="Q56" s="300"/>
      <c r="R56" s="438"/>
      <c r="S56" s="438"/>
    </row>
    <row r="57" spans="1:19" ht="12.75">
      <c r="A57" s="287"/>
      <c r="B57" s="512"/>
      <c r="C57" s="645"/>
      <c r="D57" s="645"/>
      <c r="E57" s="645"/>
      <c r="F57" s="645"/>
      <c r="G57" s="645"/>
      <c r="H57" s="645"/>
      <c r="I57" s="645"/>
      <c r="J57" s="645"/>
      <c r="K57" s="645"/>
      <c r="L57" s="645"/>
      <c r="M57" s="645"/>
      <c r="N57" s="645"/>
      <c r="O57" s="332"/>
      <c r="P57" s="438"/>
      <c r="Q57" s="300"/>
      <c r="R57" s="438"/>
      <c r="S57" s="438"/>
    </row>
    <row r="59" spans="1:6" ht="15.75">
      <c r="A59" s="461" t="s">
        <v>416</v>
      </c>
      <c r="C59" s="282"/>
      <c r="D59" s="282"/>
      <c r="E59" s="282"/>
      <c r="F59" s="282"/>
    </row>
    <row r="60" ht="13.5" thickBot="1"/>
    <row r="61" spans="2:16" ht="13.5" thickBot="1">
      <c r="B61" s="329">
        <v>1</v>
      </c>
      <c r="C61" s="371"/>
      <c r="D61" s="573" t="s">
        <v>451</v>
      </c>
      <c r="E61" s="574"/>
      <c r="F61" s="574"/>
      <c r="G61" s="574"/>
      <c r="H61" s="574"/>
      <c r="I61" s="574"/>
      <c r="J61" s="574"/>
      <c r="K61" s="574"/>
      <c r="L61" s="574"/>
      <c r="M61" s="265"/>
      <c r="N61" s="473"/>
      <c r="O61" s="372"/>
      <c r="P61" s="372"/>
    </row>
    <row r="62" spans="2:14" ht="72" customHeight="1">
      <c r="B62" s="329"/>
      <c r="C62" s="636" t="s">
        <v>507</v>
      </c>
      <c r="D62" s="636"/>
      <c r="E62" s="636"/>
      <c r="F62" s="636"/>
      <c r="G62" s="636"/>
      <c r="H62" s="636"/>
      <c r="I62" s="636"/>
      <c r="J62" s="636"/>
      <c r="M62" s="265"/>
      <c r="N62" s="473"/>
    </row>
    <row r="63" spans="2:14" ht="12.75">
      <c r="B63" s="329"/>
      <c r="C63" s="256"/>
      <c r="D63" s="256"/>
      <c r="E63" s="256"/>
      <c r="F63" s="256"/>
      <c r="G63" s="256"/>
      <c r="H63" s="256"/>
      <c r="M63" s="265"/>
      <c r="N63" s="473"/>
    </row>
    <row r="64" spans="2:14" ht="12.75">
      <c r="B64" s="329">
        <v>2</v>
      </c>
      <c r="C64" t="s">
        <v>395</v>
      </c>
      <c r="D64"/>
      <c r="E64"/>
      <c r="F64"/>
      <c r="G64"/>
      <c r="H64"/>
      <c r="M64" s="265" t="s">
        <v>4</v>
      </c>
      <c r="N64" s="400"/>
    </row>
    <row r="65" spans="2:14" ht="138" customHeight="1">
      <c r="B65" s="329"/>
      <c r="C65" s="636" t="s">
        <v>449</v>
      </c>
      <c r="D65" s="636"/>
      <c r="E65" s="636"/>
      <c r="F65" s="636"/>
      <c r="G65" s="636"/>
      <c r="H65" s="636"/>
      <c r="I65" s="636"/>
      <c r="J65" s="636"/>
      <c r="M65" s="265"/>
      <c r="N65" s="473"/>
    </row>
    <row r="66" spans="2:14" ht="165" customHeight="1">
      <c r="B66" s="329"/>
      <c r="C66" s="636" t="s">
        <v>452</v>
      </c>
      <c r="D66" s="636"/>
      <c r="E66" s="636"/>
      <c r="F66" s="636"/>
      <c r="G66" s="636"/>
      <c r="H66" s="636"/>
      <c r="I66" s="636"/>
      <c r="J66" s="636"/>
      <c r="K66" s="462"/>
      <c r="L66" s="462"/>
      <c r="M66" s="265"/>
      <c r="N66" s="473"/>
    </row>
    <row r="67" spans="2:14" ht="12.75">
      <c r="B67" s="329"/>
      <c r="C67" s="256"/>
      <c r="D67" s="256"/>
      <c r="E67" s="256"/>
      <c r="F67" s="256"/>
      <c r="G67" s="256"/>
      <c r="H67" s="256"/>
      <c r="M67" s="265"/>
      <c r="N67" s="473"/>
    </row>
    <row r="68" spans="2:14" ht="12.75">
      <c r="B68" s="329">
        <v>3</v>
      </c>
      <c r="C68" s="85" t="s">
        <v>508</v>
      </c>
      <c r="D68"/>
      <c r="E68"/>
      <c r="F68"/>
      <c r="M68" s="265" t="s">
        <v>4</v>
      </c>
      <c r="N68" s="400">
        <v>8500</v>
      </c>
    </row>
    <row r="69" spans="2:14" ht="92.25" customHeight="1">
      <c r="B69" s="329"/>
      <c r="C69" s="636" t="s">
        <v>509</v>
      </c>
      <c r="D69" s="636"/>
      <c r="E69" s="636"/>
      <c r="F69" s="636"/>
      <c r="G69" s="636"/>
      <c r="H69" s="636"/>
      <c r="I69" s="636"/>
      <c r="J69" s="636"/>
      <c r="M69" s="265"/>
      <c r="N69" s="473"/>
    </row>
    <row r="70" spans="2:14" ht="12.75">
      <c r="B70" s="329"/>
      <c r="C70" s="256"/>
      <c r="D70" s="256"/>
      <c r="E70" s="256"/>
      <c r="F70" s="256"/>
      <c r="M70" s="265"/>
      <c r="N70" s="473"/>
    </row>
    <row r="71" spans="2:14" ht="12.75">
      <c r="B71" s="330">
        <v>4</v>
      </c>
      <c r="C71" s="85" t="s">
        <v>510</v>
      </c>
      <c r="D71"/>
      <c r="E71"/>
      <c r="M71" s="265" t="s">
        <v>4</v>
      </c>
      <c r="N71" s="400"/>
    </row>
    <row r="72" spans="3:10" ht="53.25" customHeight="1">
      <c r="C72" s="634" t="s">
        <v>511</v>
      </c>
      <c r="D72" s="634"/>
      <c r="E72" s="634"/>
      <c r="F72" s="634"/>
      <c r="G72" s="634"/>
      <c r="H72" s="634"/>
      <c r="I72" s="634"/>
      <c r="J72" s="634"/>
    </row>
    <row r="73" spans="3:10" ht="12.75">
      <c r="C73" s="286"/>
      <c r="D73" s="286"/>
      <c r="E73" s="286"/>
      <c r="F73" s="286"/>
      <c r="G73" s="286"/>
      <c r="H73" s="286"/>
      <c r="I73" s="286"/>
      <c r="J73" s="286"/>
    </row>
    <row r="74" spans="1:5" ht="15.75">
      <c r="A74" s="461" t="s">
        <v>417</v>
      </c>
      <c r="C74" s="282"/>
      <c r="D74" s="282"/>
      <c r="E74" s="282"/>
    </row>
    <row r="76" spans="2:14" ht="12.75">
      <c r="B76" s="329">
        <v>1</v>
      </c>
      <c r="C76" t="s">
        <v>442</v>
      </c>
      <c r="D76"/>
      <c r="E76"/>
      <c r="F76"/>
      <c r="G76"/>
      <c r="M76" s="350"/>
      <c r="N76" s="491">
        <v>0.0002</v>
      </c>
    </row>
    <row r="77" spans="3:10" ht="57" customHeight="1">
      <c r="C77" s="634" t="s">
        <v>455</v>
      </c>
      <c r="D77" s="634"/>
      <c r="E77" s="634"/>
      <c r="F77" s="634"/>
      <c r="G77" s="634"/>
      <c r="H77" s="634"/>
      <c r="I77" s="634"/>
      <c r="J77" s="634"/>
    </row>
    <row r="78" spans="3:10" ht="12.75">
      <c r="C78" s="465"/>
      <c r="D78" s="465"/>
      <c r="E78" s="465"/>
      <c r="F78" s="465"/>
      <c r="G78" s="465"/>
      <c r="H78" s="465"/>
      <c r="I78" s="465"/>
      <c r="J78" s="465"/>
    </row>
  </sheetData>
  <sheetProtection sheet="1" formatColumns="0" formatRows="0"/>
  <mergeCells count="60">
    <mergeCell ref="D10:N10"/>
    <mergeCell ref="B18:E18"/>
    <mergeCell ref="K48:L48"/>
    <mergeCell ref="K49:L49"/>
    <mergeCell ref="Q5:AC5"/>
    <mergeCell ref="B20:E20"/>
    <mergeCell ref="L20:M20"/>
    <mergeCell ref="I20:J20"/>
    <mergeCell ref="D8:N8"/>
    <mergeCell ref="D9:N9"/>
    <mergeCell ref="F16:G16"/>
    <mergeCell ref="B16:E16"/>
    <mergeCell ref="K42:L42"/>
    <mergeCell ref="K16:M16"/>
    <mergeCell ref="I29:J29"/>
    <mergeCell ref="K37:L37"/>
    <mergeCell ref="H16:J16"/>
    <mergeCell ref="H25:J25"/>
    <mergeCell ref="K25:M25"/>
    <mergeCell ref="I17:J17"/>
    <mergeCell ref="I18:J18"/>
    <mergeCell ref="I26:J26"/>
    <mergeCell ref="L29:M29"/>
    <mergeCell ref="K46:L46"/>
    <mergeCell ref="K38:L38"/>
    <mergeCell ref="D61:L61"/>
    <mergeCell ref="K41:L41"/>
    <mergeCell ref="K52:L52"/>
    <mergeCell ref="K44:L44"/>
    <mergeCell ref="K45:L45"/>
    <mergeCell ref="B17:E17"/>
    <mergeCell ref="B19:E19"/>
    <mergeCell ref="I27:J27"/>
    <mergeCell ref="I28:J28"/>
    <mergeCell ref="F17:G17"/>
    <mergeCell ref="L18:M18"/>
    <mergeCell ref="F25:G25"/>
    <mergeCell ref="L17:M17"/>
    <mergeCell ref="I19:J19"/>
    <mergeCell ref="L19:M19"/>
    <mergeCell ref="C66:J66"/>
    <mergeCell ref="C69:J69"/>
    <mergeCell ref="C72:J72"/>
    <mergeCell ref="K39:L39"/>
    <mergeCell ref="K43:L43"/>
    <mergeCell ref="K40:L40"/>
    <mergeCell ref="K50:L50"/>
    <mergeCell ref="K51:L51"/>
    <mergeCell ref="K47:L47"/>
    <mergeCell ref="C56:N57"/>
    <mergeCell ref="C77:J77"/>
    <mergeCell ref="B7:N7"/>
    <mergeCell ref="B23:N23"/>
    <mergeCell ref="B14:N14"/>
    <mergeCell ref="B35:N35"/>
    <mergeCell ref="C62:J62"/>
    <mergeCell ref="C65:J65"/>
    <mergeCell ref="L26:M26"/>
    <mergeCell ref="L27:M27"/>
    <mergeCell ref="L28:M28"/>
  </mergeCells>
  <dataValidations count="2">
    <dataValidation type="list" allowBlank="1" showInputMessage="1" showErrorMessage="1" sqref="C61">
      <formula1>"X"</formula1>
    </dataValidation>
    <dataValidation type="list" allowBlank="1" showInputMessage="1" showErrorMessage="1" sqref="B8:B11">
      <formula1>"X, x"</formula1>
    </dataValidation>
  </dataValidations>
  <printOptions/>
  <pageMargins left="0.7" right="0.7" top="0.75" bottom="0.75" header="0.3" footer="0.3"/>
  <pageSetup fitToWidth="0" fitToHeight="1" horizontalDpi="600" verticalDpi="600" orientation="portrait" paperSize="5" scale="51" r:id="rId1"/>
  <headerFooter>
    <oddFooter>&amp;L&amp;"Arial,Bold"Rev. 5/19 Arizona Department of Education and Auditor General&amp;R&amp;"Arial,Bold"Data Entry</oddFooter>
  </headerFooter>
</worksheet>
</file>

<file path=xl/worksheets/sheet9.xml><?xml version="1.0" encoding="utf-8"?>
<worksheet xmlns="http://schemas.openxmlformats.org/spreadsheetml/2006/main" xmlns:r="http://schemas.openxmlformats.org/officeDocument/2006/relationships">
  <dimension ref="A1:AE117"/>
  <sheetViews>
    <sheetView showGridLines="0" zoomScaleSheetLayoutView="100" workbookViewId="0" topLeftCell="A67">
      <selection activeCell="L9" sqref="L9"/>
    </sheetView>
  </sheetViews>
  <sheetFormatPr defaultColWidth="11.140625" defaultRowHeight="12.75"/>
  <cols>
    <col min="1" max="1" width="3.421875" style="278" customWidth="1"/>
    <col min="2" max="2" width="2.421875" style="278" customWidth="1"/>
    <col min="3" max="3" width="3.8515625" style="278" customWidth="1"/>
    <col min="4" max="4" width="4.28125" style="278" customWidth="1"/>
    <col min="5" max="5" width="7.7109375" style="278" customWidth="1"/>
    <col min="6" max="7" width="11.140625" style="278" customWidth="1"/>
    <col min="8" max="8" width="11.7109375" style="278" customWidth="1"/>
    <col min="9" max="9" width="11.57421875" style="278" customWidth="1"/>
    <col min="10" max="10" width="12.7109375" style="278" customWidth="1"/>
    <col min="11" max="11" width="2.7109375" style="278" customWidth="1"/>
    <col min="12" max="12" width="14.00390625" style="278" customWidth="1"/>
    <col min="13" max="13" width="1.57421875" style="278" customWidth="1"/>
    <col min="14" max="14" width="14.00390625" style="278" bestFit="1" customWidth="1"/>
    <col min="15" max="15" width="11.140625" style="278" customWidth="1"/>
    <col min="16" max="16" width="7.57421875" style="278" customWidth="1"/>
    <col min="17" max="18" width="11.140625" style="278" customWidth="1"/>
    <col min="19" max="19" width="7.28125" style="278" customWidth="1"/>
    <col min="20" max="22" width="11.140625" style="278" customWidth="1"/>
    <col min="23" max="23" width="7.28125" style="278" customWidth="1"/>
    <col min="24" max="26" width="11.140625" style="278" customWidth="1"/>
    <col min="27" max="27" width="7.28125" style="278" customWidth="1"/>
    <col min="28" max="16384" width="11.140625" style="278" customWidth="1"/>
  </cols>
  <sheetData>
    <row r="1" spans="1:15" ht="15.75" customHeight="1">
      <c r="A1" s="682" t="s">
        <v>456</v>
      </c>
      <c r="B1" s="682"/>
      <c r="C1" s="682"/>
      <c r="D1" s="682"/>
      <c r="E1" s="683" t="str">
        <f>Cover!D1</f>
        <v>Scottsdale Country Day School</v>
      </c>
      <c r="F1" s="684"/>
      <c r="G1" s="684"/>
      <c r="H1" s="318" t="s">
        <v>331</v>
      </c>
      <c r="I1" s="483" t="str">
        <f>Cover!M1</f>
        <v>Maricopa</v>
      </c>
      <c r="J1" s="682" t="s">
        <v>190</v>
      </c>
      <c r="K1" s="682"/>
      <c r="L1" s="678" t="str">
        <f>Cover!R1</f>
        <v>078243000</v>
      </c>
      <c r="M1" s="679"/>
      <c r="N1" s="318"/>
      <c r="O1" s="320"/>
    </row>
    <row r="2" spans="1:15" ht="15.75" customHeight="1">
      <c r="A2" s="318"/>
      <c r="B2" s="318"/>
      <c r="C2" s="318"/>
      <c r="D2" s="318"/>
      <c r="E2" s="409"/>
      <c r="F2" s="409"/>
      <c r="G2" s="409"/>
      <c r="H2" s="318"/>
      <c r="I2" s="409"/>
      <c r="J2" s="318"/>
      <c r="K2" s="318"/>
      <c r="L2" s="320"/>
      <c r="M2" s="320"/>
      <c r="N2" s="318"/>
      <c r="O2" s="320"/>
    </row>
    <row r="3" spans="1:15" ht="15.75" customHeight="1">
      <c r="A3" s="318"/>
      <c r="B3" s="318"/>
      <c r="C3" s="318"/>
      <c r="D3" s="318"/>
      <c r="E3" s="409"/>
      <c r="F3" s="409"/>
      <c r="G3" s="409"/>
      <c r="H3" s="318"/>
      <c r="I3" s="409"/>
      <c r="J3" s="318"/>
      <c r="K3" s="318"/>
      <c r="L3" s="320"/>
      <c r="M3" s="320"/>
      <c r="N3" s="318"/>
      <c r="O3" s="320"/>
    </row>
    <row r="4" spans="1:15" ht="15.75" customHeight="1">
      <c r="A4" s="318"/>
      <c r="B4" s="318"/>
      <c r="C4" s="318"/>
      <c r="D4" s="318"/>
      <c r="E4" s="409"/>
      <c r="F4" s="409"/>
      <c r="G4" s="409"/>
      <c r="H4" s="318"/>
      <c r="I4" s="409"/>
      <c r="J4" s="318"/>
      <c r="K4" s="318"/>
      <c r="L4" s="320"/>
      <c r="M4" s="320"/>
      <c r="N4" s="318"/>
      <c r="O4" s="320"/>
    </row>
    <row r="5" spans="1:15" ht="15.75" customHeight="1">
      <c r="A5" s="284" t="s">
        <v>460</v>
      </c>
      <c r="B5" s="318"/>
      <c r="C5" s="107"/>
      <c r="D5" s="107"/>
      <c r="E5" s="107"/>
      <c r="F5" s="107"/>
      <c r="G5" s="107"/>
      <c r="H5" s="107"/>
      <c r="I5" s="409"/>
      <c r="J5" s="318"/>
      <c r="K5" s="318"/>
      <c r="L5" s="320"/>
      <c r="M5" s="320"/>
      <c r="N5" s="318"/>
      <c r="O5" s="320"/>
    </row>
    <row r="6" spans="1:15" ht="15.75" customHeight="1">
      <c r="A6" s="284"/>
      <c r="B6" s="318"/>
      <c r="C6" s="451" t="s">
        <v>396</v>
      </c>
      <c r="D6" s="466"/>
      <c r="E6" s="466"/>
      <c r="F6" s="466"/>
      <c r="G6" s="466"/>
      <c r="H6" s="466"/>
      <c r="I6" s="470"/>
      <c r="J6" s="471"/>
      <c r="K6" s="471"/>
      <c r="L6" s="472"/>
      <c r="M6" s="472"/>
      <c r="N6" s="471"/>
      <c r="O6" s="320"/>
    </row>
    <row r="7" spans="1:15" ht="15.75" customHeight="1" thickBot="1">
      <c r="A7" s="318"/>
      <c r="B7" s="318"/>
      <c r="C7" s="416" t="s">
        <v>436</v>
      </c>
      <c r="D7" s="416"/>
      <c r="E7" s="413"/>
      <c r="F7" s="413"/>
      <c r="G7" s="413"/>
      <c r="H7" s="413"/>
      <c r="I7" s="417"/>
      <c r="J7" s="418"/>
      <c r="K7" s="424"/>
      <c r="L7" s="482" t="s">
        <v>333</v>
      </c>
      <c r="M7" s="419"/>
      <c r="N7" s="420" t="s">
        <v>334</v>
      </c>
      <c r="O7" s="320"/>
    </row>
    <row r="8" spans="1:15" ht="15.75" customHeight="1" thickTop="1">
      <c r="A8" s="318"/>
      <c r="B8" s="318"/>
      <c r="C8" s="354" t="s">
        <v>391</v>
      </c>
      <c r="D8" s="85"/>
      <c r="E8" s="85"/>
      <c r="F8" s="296"/>
      <c r="G8" s="296"/>
      <c r="H8" s="296"/>
      <c r="I8" s="409"/>
      <c r="J8" s="318"/>
      <c r="K8" s="423"/>
      <c r="L8" s="85"/>
      <c r="M8" s="354"/>
      <c r="N8" s="422"/>
      <c r="O8" s="320"/>
    </row>
    <row r="9" spans="1:15" ht="15.75" customHeight="1" thickBot="1">
      <c r="A9" s="318"/>
      <c r="B9" s="318"/>
      <c r="C9" s="369"/>
      <c r="D9" s="310" t="s">
        <v>335</v>
      </c>
      <c r="E9" s="310"/>
      <c r="F9" s="310"/>
      <c r="G9" s="310"/>
      <c r="H9" s="310"/>
      <c r="I9" s="414"/>
      <c r="J9" s="415"/>
      <c r="K9" s="421"/>
      <c r="L9" s="475">
        <v>1.399</v>
      </c>
      <c r="M9" s="309"/>
      <c r="N9" s="357">
        <v>1.559</v>
      </c>
      <c r="O9" s="320"/>
    </row>
    <row r="10" spans="1:15" ht="15.75" customHeight="1" thickTop="1">
      <c r="A10" s="318"/>
      <c r="B10" s="318"/>
      <c r="C10" s="353" t="s">
        <v>336</v>
      </c>
      <c r="D10" s="85"/>
      <c r="E10" s="85"/>
      <c r="F10" s="288"/>
      <c r="G10" s="288"/>
      <c r="H10" s="288"/>
      <c r="I10" s="409"/>
      <c r="J10" s="318"/>
      <c r="K10" s="297"/>
      <c r="L10" s="107"/>
      <c r="M10" s="354"/>
      <c r="N10" s="356"/>
      <c r="O10" s="320"/>
    </row>
    <row r="11" spans="1:15" ht="15.75" customHeight="1">
      <c r="A11" s="318"/>
      <c r="B11" s="318"/>
      <c r="C11" s="354"/>
      <c r="D11" s="85" t="s">
        <v>337</v>
      </c>
      <c r="E11" s="85"/>
      <c r="F11" s="85"/>
      <c r="G11" s="85"/>
      <c r="H11" s="85"/>
      <c r="I11" s="409"/>
      <c r="J11" s="318"/>
      <c r="K11" s="280"/>
      <c r="L11" s="480">
        <v>500</v>
      </c>
      <c r="M11" s="358"/>
      <c r="N11" s="410">
        <v>500</v>
      </c>
      <c r="O11" s="320"/>
    </row>
    <row r="12" spans="1:15" ht="15.75" customHeight="1">
      <c r="A12" s="318"/>
      <c r="B12" s="318"/>
      <c r="C12" s="354"/>
      <c r="D12" s="85" t="s">
        <v>367</v>
      </c>
      <c r="E12" s="85"/>
      <c r="F12" s="85"/>
      <c r="G12" s="85"/>
      <c r="H12" s="85"/>
      <c r="I12" s="409"/>
      <c r="J12" s="318"/>
      <c r="K12" s="280" t="s">
        <v>338</v>
      </c>
      <c r="L12" s="476">
        <f>IF('Data Entry'!I20&gt;99.999,IF('Data Entry'!I20&lt;500,'Data Entry'!I20,0),0)</f>
        <v>158</v>
      </c>
      <c r="M12" s="280" t="s">
        <v>338</v>
      </c>
      <c r="N12" s="361">
        <f>IF('Data Entry'!L20&gt;99.999,IF('Data Entry'!L20&lt;500,'Data Entry'!L20,0),0)</f>
        <v>0</v>
      </c>
      <c r="O12" s="320"/>
    </row>
    <row r="13" spans="1:15" ht="15.75" customHeight="1">
      <c r="A13" s="318"/>
      <c r="B13" s="318"/>
      <c r="C13" s="354"/>
      <c r="D13" s="85" t="s">
        <v>339</v>
      </c>
      <c r="E13" s="85"/>
      <c r="F13" s="85"/>
      <c r="G13" s="85"/>
      <c r="H13" s="85"/>
      <c r="I13" s="409"/>
      <c r="J13" s="318"/>
      <c r="K13" s="105" t="s">
        <v>340</v>
      </c>
      <c r="L13" s="479">
        <f>IF(L12&gt;0,ROUND(+L11-L12,3),0)</f>
        <v>342</v>
      </c>
      <c r="M13" s="307" t="s">
        <v>340</v>
      </c>
      <c r="N13" s="362">
        <f>IF(N12&gt;0,ROUND(+N11-N12,3),0)</f>
        <v>0</v>
      </c>
      <c r="O13" s="320"/>
    </row>
    <row r="14" spans="1:15" ht="15.75" customHeight="1">
      <c r="A14" s="318"/>
      <c r="B14" s="318"/>
      <c r="C14" s="354"/>
      <c r="D14" s="85" t="s">
        <v>341</v>
      </c>
      <c r="E14" s="85"/>
      <c r="F14" s="85"/>
      <c r="G14" s="85"/>
      <c r="H14" s="85"/>
      <c r="I14" s="409"/>
      <c r="J14" s="318"/>
      <c r="K14" s="105" t="s">
        <v>342</v>
      </c>
      <c r="L14" s="476">
        <v>0.0003</v>
      </c>
      <c r="M14" s="105" t="s">
        <v>342</v>
      </c>
      <c r="N14" s="361">
        <v>0.0004</v>
      </c>
      <c r="O14" s="320"/>
    </row>
    <row r="15" spans="1:15" ht="15.75" customHeight="1">
      <c r="A15" s="318"/>
      <c r="B15" s="318"/>
      <c r="C15" s="354"/>
      <c r="D15" s="85" t="s">
        <v>343</v>
      </c>
      <c r="E15" s="85"/>
      <c r="F15" s="85"/>
      <c r="G15" s="85"/>
      <c r="H15" s="85"/>
      <c r="I15" s="409"/>
      <c r="J15" s="318"/>
      <c r="K15" s="105" t="s">
        <v>340</v>
      </c>
      <c r="L15" s="476">
        <f>IF(L12&gt;0,ROUND(L13*L14,3),0)</f>
        <v>0.103</v>
      </c>
      <c r="M15" s="280" t="s">
        <v>340</v>
      </c>
      <c r="N15" s="361">
        <f>IF(N12&gt;0,ROUND(N13*N14,3),0)</f>
        <v>0</v>
      </c>
      <c r="O15" s="320"/>
    </row>
    <row r="16" spans="1:15" ht="15.75" customHeight="1">
      <c r="A16" s="318"/>
      <c r="B16" s="318"/>
      <c r="C16" s="354"/>
      <c r="D16" s="85" t="s">
        <v>392</v>
      </c>
      <c r="E16" s="85"/>
      <c r="F16" s="85"/>
      <c r="G16" s="85"/>
      <c r="H16" s="85"/>
      <c r="I16" s="409"/>
      <c r="J16" s="318"/>
      <c r="K16" s="105" t="s">
        <v>344</v>
      </c>
      <c r="L16" s="476">
        <v>1.278</v>
      </c>
      <c r="M16" s="105" t="s">
        <v>344</v>
      </c>
      <c r="N16" s="361">
        <v>1.398</v>
      </c>
      <c r="O16" s="320"/>
    </row>
    <row r="17" spans="1:15" ht="15.75" customHeight="1" thickBot="1">
      <c r="A17" s="318"/>
      <c r="B17" s="318"/>
      <c r="C17" s="369"/>
      <c r="D17" s="310" t="s">
        <v>393</v>
      </c>
      <c r="E17" s="310"/>
      <c r="F17" s="310"/>
      <c r="G17" s="310"/>
      <c r="H17" s="310"/>
      <c r="I17" s="414"/>
      <c r="J17" s="415"/>
      <c r="K17" s="308" t="s">
        <v>340</v>
      </c>
      <c r="L17" s="477">
        <f>IF(L12&gt;0,ROUND(+L15+L16,3),0)</f>
        <v>1.381</v>
      </c>
      <c r="M17" s="309" t="s">
        <v>340</v>
      </c>
      <c r="N17" s="363">
        <f>IF(N12&gt;0,ROUND(+N15+N16,3),0)</f>
        <v>0</v>
      </c>
      <c r="O17" s="320"/>
    </row>
    <row r="18" spans="1:15" ht="15.75" customHeight="1" thickTop="1">
      <c r="A18" s="318"/>
      <c r="B18" s="318"/>
      <c r="C18" s="353" t="s">
        <v>345</v>
      </c>
      <c r="D18" s="85"/>
      <c r="E18" s="85"/>
      <c r="F18" s="288"/>
      <c r="G18" s="288"/>
      <c r="H18" s="288"/>
      <c r="I18" s="409"/>
      <c r="J18" s="318"/>
      <c r="K18" s="297"/>
      <c r="L18" s="85"/>
      <c r="M18" s="354"/>
      <c r="N18" s="356"/>
      <c r="O18" s="320"/>
    </row>
    <row r="19" spans="1:15" ht="15.75" customHeight="1">
      <c r="A19" s="318"/>
      <c r="B19" s="318"/>
      <c r="C19" s="354"/>
      <c r="D19" s="85" t="s">
        <v>337</v>
      </c>
      <c r="E19" s="85"/>
      <c r="F19" s="85"/>
      <c r="G19" s="85"/>
      <c r="H19" s="85"/>
      <c r="I19" s="409"/>
      <c r="J19" s="318"/>
      <c r="K19" s="354"/>
      <c r="L19" s="481">
        <v>600</v>
      </c>
      <c r="M19" s="358"/>
      <c r="N19" s="364">
        <v>600</v>
      </c>
      <c r="O19" s="320"/>
    </row>
    <row r="20" spans="1:15" ht="15.75" customHeight="1">
      <c r="A20" s="318"/>
      <c r="B20" s="318"/>
      <c r="C20" s="354"/>
      <c r="D20" s="85" t="s">
        <v>367</v>
      </c>
      <c r="E20" s="85"/>
      <c r="F20" s="85"/>
      <c r="G20" s="85"/>
      <c r="H20" s="85"/>
      <c r="I20" s="409"/>
      <c r="J20" s="318"/>
      <c r="K20" s="324" t="s">
        <v>338</v>
      </c>
      <c r="L20" s="476">
        <f>IF('Data Entry'!I20&gt;499.999,IF('Data Entry'!I20&lt;600,'Data Entry'!I20,0),0)</f>
        <v>0</v>
      </c>
      <c r="M20" s="280" t="s">
        <v>338</v>
      </c>
      <c r="N20" s="361">
        <f>IF('Data Entry'!L20&gt;499.999,IF('Data Entry'!L20&lt;600,'Data Entry'!L20,0),0)</f>
        <v>0</v>
      </c>
      <c r="O20" s="320"/>
    </row>
    <row r="21" spans="1:15" ht="15.75" customHeight="1">
      <c r="A21" s="318"/>
      <c r="B21" s="318"/>
      <c r="C21" s="354"/>
      <c r="D21" s="85" t="s">
        <v>339</v>
      </c>
      <c r="E21" s="85"/>
      <c r="F21" s="85"/>
      <c r="G21" s="85"/>
      <c r="H21" s="85"/>
      <c r="I21" s="409"/>
      <c r="J21" s="318"/>
      <c r="K21" s="412" t="s">
        <v>340</v>
      </c>
      <c r="L21" s="479">
        <f>IF(L20&gt;0,ROUND(+L19-L20,3),0)</f>
        <v>0</v>
      </c>
      <c r="M21" s="307" t="s">
        <v>340</v>
      </c>
      <c r="N21" s="362">
        <f>IF(N20&gt;0,ROUND(+N19-N20,3),0)</f>
        <v>0</v>
      </c>
      <c r="O21" s="320"/>
    </row>
    <row r="22" spans="1:15" ht="15.75" customHeight="1">
      <c r="A22" s="318"/>
      <c r="B22" s="318"/>
      <c r="C22" s="354"/>
      <c r="D22" s="85" t="s">
        <v>341</v>
      </c>
      <c r="E22" s="85"/>
      <c r="F22" s="85"/>
      <c r="G22" s="85"/>
      <c r="H22" s="85"/>
      <c r="I22" s="409"/>
      <c r="J22" s="318"/>
      <c r="K22" s="324" t="s">
        <v>342</v>
      </c>
      <c r="L22" s="476">
        <v>0.0012</v>
      </c>
      <c r="M22" s="105" t="s">
        <v>342</v>
      </c>
      <c r="N22" s="361">
        <v>0.0013</v>
      </c>
      <c r="O22" s="320"/>
    </row>
    <row r="23" spans="1:15" ht="15.75" customHeight="1">
      <c r="A23" s="318"/>
      <c r="B23" s="318"/>
      <c r="C23" s="354"/>
      <c r="D23" s="85" t="s">
        <v>343</v>
      </c>
      <c r="E23" s="85"/>
      <c r="F23" s="85"/>
      <c r="G23" s="85"/>
      <c r="H23" s="85"/>
      <c r="I23" s="409"/>
      <c r="J23" s="318"/>
      <c r="K23" s="412" t="s">
        <v>340</v>
      </c>
      <c r="L23" s="476">
        <f>IF(L20&gt;0,ROUND(L21*L22,3),0)</f>
        <v>0</v>
      </c>
      <c r="M23" s="280" t="s">
        <v>340</v>
      </c>
      <c r="N23" s="361">
        <f>IF(N20&gt;0,ROUND(N21*N22,3),0)</f>
        <v>0</v>
      </c>
      <c r="O23" s="320"/>
    </row>
    <row r="24" spans="1:15" ht="15.75" customHeight="1">
      <c r="A24" s="318"/>
      <c r="B24" s="318"/>
      <c r="C24" s="354"/>
      <c r="D24" s="85" t="s">
        <v>392</v>
      </c>
      <c r="E24" s="85"/>
      <c r="F24" s="85"/>
      <c r="G24" s="85"/>
      <c r="H24" s="85"/>
      <c r="I24" s="409"/>
      <c r="J24" s="318"/>
      <c r="K24" s="324" t="s">
        <v>344</v>
      </c>
      <c r="L24" s="476">
        <v>1.158</v>
      </c>
      <c r="M24" s="280" t="s">
        <v>344</v>
      </c>
      <c r="N24" s="361">
        <v>1.268</v>
      </c>
      <c r="O24" s="320"/>
    </row>
    <row r="25" spans="1:15" ht="15.75" customHeight="1" thickBot="1">
      <c r="A25" s="318"/>
      <c r="B25" s="318"/>
      <c r="C25" s="369"/>
      <c r="D25" s="310" t="s">
        <v>393</v>
      </c>
      <c r="E25" s="310"/>
      <c r="F25" s="310"/>
      <c r="G25" s="310"/>
      <c r="H25" s="310"/>
      <c r="I25" s="414"/>
      <c r="J25" s="415"/>
      <c r="K25" s="327" t="s">
        <v>340</v>
      </c>
      <c r="L25" s="477">
        <f>IF(L20&gt;0,ROUND(+L23+L24,3),0)</f>
        <v>0</v>
      </c>
      <c r="M25" s="308" t="s">
        <v>340</v>
      </c>
      <c r="N25" s="357">
        <f>IF(N20&gt;0,ROUND(+N23+N24,3),0)</f>
        <v>0</v>
      </c>
      <c r="O25" s="320"/>
    </row>
    <row r="26" spans="1:15" ht="15.75" customHeight="1" thickTop="1">
      <c r="A26" s="318"/>
      <c r="B26" s="318"/>
      <c r="C26" s="353" t="s">
        <v>394</v>
      </c>
      <c r="D26" s="85"/>
      <c r="E26" s="85"/>
      <c r="F26" s="289"/>
      <c r="G26" s="289"/>
      <c r="H26" s="288"/>
      <c r="I26" s="409"/>
      <c r="J26" s="318"/>
      <c r="K26" s="297"/>
      <c r="L26" s="355"/>
      <c r="M26" s="353"/>
      <c r="N26" s="356"/>
      <c r="O26" s="320"/>
    </row>
    <row r="27" spans="1:15" ht="15.75" customHeight="1" thickBot="1">
      <c r="A27" s="318"/>
      <c r="B27" s="318"/>
      <c r="C27" s="281"/>
      <c r="D27" s="310" t="s">
        <v>393</v>
      </c>
      <c r="E27" s="310"/>
      <c r="F27" s="310"/>
      <c r="G27" s="310"/>
      <c r="H27" s="310"/>
      <c r="I27" s="414"/>
      <c r="J27" s="415"/>
      <c r="K27" s="309"/>
      <c r="L27" s="475">
        <v>1.158</v>
      </c>
      <c r="M27" s="309"/>
      <c r="N27" s="357">
        <v>1.268</v>
      </c>
      <c r="O27" s="320"/>
    </row>
    <row r="28" spans="1:15" ht="15.75" customHeight="1" thickTop="1">
      <c r="A28" s="318"/>
      <c r="B28" s="318"/>
      <c r="C28" s="302"/>
      <c r="D28" s="85"/>
      <c r="E28" s="85"/>
      <c r="F28" s="85"/>
      <c r="G28" s="85"/>
      <c r="H28" s="85"/>
      <c r="I28" s="409"/>
      <c r="J28" s="318"/>
      <c r="K28" s="85"/>
      <c r="L28" s="85"/>
      <c r="M28" s="85"/>
      <c r="N28" s="85"/>
      <c r="O28" s="320"/>
    </row>
    <row r="29" spans="1:15" ht="15.75" customHeight="1">
      <c r="A29" s="318"/>
      <c r="B29" s="318"/>
      <c r="C29" s="302"/>
      <c r="D29" s="85"/>
      <c r="E29" s="85"/>
      <c r="F29" s="85"/>
      <c r="G29" s="85"/>
      <c r="H29" s="85"/>
      <c r="I29" s="409"/>
      <c r="J29" s="318"/>
      <c r="K29" s="85"/>
      <c r="L29" s="85"/>
      <c r="M29" s="85"/>
      <c r="N29" s="85"/>
      <c r="O29" s="320"/>
    </row>
    <row r="30" spans="1:15" ht="15.75" customHeight="1">
      <c r="A30" s="318"/>
      <c r="B30" s="318"/>
      <c r="C30" s="302"/>
      <c r="D30" s="85"/>
      <c r="E30" s="85"/>
      <c r="F30" s="85"/>
      <c r="G30" s="85"/>
      <c r="H30" s="85"/>
      <c r="I30" s="409"/>
      <c r="J30" s="318"/>
      <c r="K30" s="85"/>
      <c r="L30" s="85"/>
      <c r="M30" s="85"/>
      <c r="N30" s="85"/>
      <c r="O30" s="320"/>
    </row>
    <row r="31" spans="1:15" ht="15.75" customHeight="1">
      <c r="A31" s="318"/>
      <c r="B31" s="318"/>
      <c r="C31" s="451" t="s">
        <v>439</v>
      </c>
      <c r="D31" s="451"/>
      <c r="E31" s="451"/>
      <c r="F31" s="451"/>
      <c r="G31" s="451"/>
      <c r="H31" s="451"/>
      <c r="I31" s="467"/>
      <c r="J31" s="450"/>
      <c r="K31" s="451"/>
      <c r="L31" s="451"/>
      <c r="M31" s="451"/>
      <c r="N31" s="451"/>
      <c r="O31" s="468"/>
    </row>
    <row r="32" spans="1:15" ht="15.75" customHeight="1" thickBot="1">
      <c r="A32" s="318"/>
      <c r="B32" s="318"/>
      <c r="C32" s="416" t="s">
        <v>436</v>
      </c>
      <c r="D32" s="416"/>
      <c r="E32" s="413"/>
      <c r="F32" s="413"/>
      <c r="G32" s="413"/>
      <c r="H32" s="413"/>
      <c r="I32" s="417"/>
      <c r="J32" s="418"/>
      <c r="K32" s="424"/>
      <c r="L32" s="482" t="s">
        <v>333</v>
      </c>
      <c r="M32" s="425"/>
      <c r="N32" s="420" t="s">
        <v>334</v>
      </c>
      <c r="O32" s="320"/>
    </row>
    <row r="33" spans="1:15" ht="15.75" customHeight="1" thickTop="1">
      <c r="A33" s="318"/>
      <c r="B33" s="318"/>
      <c r="C33" s="354" t="s">
        <v>391</v>
      </c>
      <c r="D33" s="85"/>
      <c r="E33" s="85"/>
      <c r="F33" s="296"/>
      <c r="G33" s="296"/>
      <c r="H33" s="296"/>
      <c r="I33" s="409"/>
      <c r="J33" s="318"/>
      <c r="K33" s="354"/>
      <c r="L33" s="85"/>
      <c r="M33" s="354"/>
      <c r="N33" s="356"/>
      <c r="O33" s="320"/>
    </row>
    <row r="34" spans="1:15" ht="15.75" customHeight="1" thickBot="1">
      <c r="A34" s="318"/>
      <c r="B34" s="318"/>
      <c r="C34" s="369"/>
      <c r="D34" s="310" t="s">
        <v>335</v>
      </c>
      <c r="E34" s="310"/>
      <c r="F34" s="310"/>
      <c r="G34" s="310"/>
      <c r="H34" s="310"/>
      <c r="I34" s="414"/>
      <c r="J34" s="415"/>
      <c r="K34" s="309"/>
      <c r="L34" s="475">
        <v>1.399</v>
      </c>
      <c r="M34" s="309"/>
      <c r="N34" s="357">
        <v>1.559</v>
      </c>
      <c r="O34" s="320"/>
    </row>
    <row r="35" spans="1:15" ht="15.75" customHeight="1" thickTop="1">
      <c r="A35" s="318"/>
      <c r="B35" s="318"/>
      <c r="C35" s="353" t="s">
        <v>336</v>
      </c>
      <c r="D35" s="85"/>
      <c r="E35" s="85"/>
      <c r="F35" s="288"/>
      <c r="G35" s="288"/>
      <c r="H35" s="288"/>
      <c r="I35" s="409"/>
      <c r="J35" s="318"/>
      <c r="K35" s="366"/>
      <c r="L35" s="107"/>
      <c r="M35" s="354"/>
      <c r="N35" s="356"/>
      <c r="O35" s="320"/>
    </row>
    <row r="36" spans="1:15" ht="15.75" customHeight="1">
      <c r="A36" s="318"/>
      <c r="B36" s="318"/>
      <c r="C36" s="354"/>
      <c r="D36" s="85" t="s">
        <v>337</v>
      </c>
      <c r="E36" s="85"/>
      <c r="F36" s="85"/>
      <c r="G36" s="85"/>
      <c r="H36" s="85"/>
      <c r="I36" s="409"/>
      <c r="J36" s="318"/>
      <c r="K36" s="326"/>
      <c r="L36" s="478">
        <v>500</v>
      </c>
      <c r="M36" s="280"/>
      <c r="N36" s="364">
        <v>500</v>
      </c>
      <c r="O36" s="320"/>
    </row>
    <row r="37" spans="1:15" ht="15.75" customHeight="1">
      <c r="A37" s="318"/>
      <c r="B37" s="318"/>
      <c r="C37" s="354"/>
      <c r="D37" s="85" t="s">
        <v>367</v>
      </c>
      <c r="E37" s="85"/>
      <c r="F37" s="85"/>
      <c r="G37" s="85"/>
      <c r="H37" s="85"/>
      <c r="I37" s="409"/>
      <c r="J37" s="318"/>
      <c r="K37" s="326" t="s">
        <v>338</v>
      </c>
      <c r="L37" s="476">
        <f>IF('Data Entry'!I29&gt;99.999,IF('Data Entry'!I29&lt;500,'Data Entry'!I29,0),0)</f>
        <v>0</v>
      </c>
      <c r="M37" s="326" t="s">
        <v>338</v>
      </c>
      <c r="N37" s="361">
        <f>IF('Data Entry'!L29&gt;99.999,IF('Data Entry'!L29&lt;500,'Data Entry'!L29,0),0)</f>
        <v>0</v>
      </c>
      <c r="O37" s="320"/>
    </row>
    <row r="38" spans="1:15" ht="15.75" customHeight="1">
      <c r="A38" s="318"/>
      <c r="B38" s="318"/>
      <c r="C38" s="354"/>
      <c r="D38" s="85" t="s">
        <v>339</v>
      </c>
      <c r="E38" s="85"/>
      <c r="F38" s="85"/>
      <c r="G38" s="85"/>
      <c r="H38" s="85"/>
      <c r="I38" s="409"/>
      <c r="J38" s="318"/>
      <c r="K38" s="326" t="s">
        <v>340</v>
      </c>
      <c r="L38" s="479">
        <f>IF(L37&gt;0,ROUND(+L36-L37,3),0)</f>
        <v>0</v>
      </c>
      <c r="M38" s="326" t="s">
        <v>340</v>
      </c>
      <c r="N38" s="362">
        <f>IF(N37&gt;0,ROUND(+N36-N37,3),0)</f>
        <v>0</v>
      </c>
      <c r="O38" s="320"/>
    </row>
    <row r="39" spans="1:15" ht="15.75" customHeight="1">
      <c r="A39" s="318"/>
      <c r="B39" s="318"/>
      <c r="C39" s="354"/>
      <c r="D39" s="85" t="s">
        <v>341</v>
      </c>
      <c r="E39" s="85"/>
      <c r="F39" s="85"/>
      <c r="G39" s="85"/>
      <c r="H39" s="85"/>
      <c r="I39" s="409"/>
      <c r="J39" s="318"/>
      <c r="K39" s="326" t="s">
        <v>342</v>
      </c>
      <c r="L39" s="476">
        <v>0.0003</v>
      </c>
      <c r="M39" s="326" t="s">
        <v>342</v>
      </c>
      <c r="N39" s="361">
        <v>0.0004</v>
      </c>
      <c r="O39" s="320"/>
    </row>
    <row r="40" spans="1:15" ht="15.75" customHeight="1">
      <c r="A40" s="318"/>
      <c r="B40" s="318"/>
      <c r="C40" s="354"/>
      <c r="D40" s="85" t="s">
        <v>343</v>
      </c>
      <c r="E40" s="85"/>
      <c r="F40" s="85"/>
      <c r="G40" s="85"/>
      <c r="H40" s="85"/>
      <c r="I40" s="409"/>
      <c r="J40" s="318"/>
      <c r="K40" s="326" t="s">
        <v>340</v>
      </c>
      <c r="L40" s="476">
        <f>IF(L37&gt;0,ROUND(L38*L39,3),0)</f>
        <v>0</v>
      </c>
      <c r="M40" s="326" t="s">
        <v>340</v>
      </c>
      <c r="N40" s="361">
        <f>IF(N37&gt;0,ROUND(N38*N39,3),0)</f>
        <v>0</v>
      </c>
      <c r="O40" s="320"/>
    </row>
    <row r="41" spans="1:15" ht="15.75" customHeight="1">
      <c r="A41" s="318"/>
      <c r="B41" s="318"/>
      <c r="C41" s="354"/>
      <c r="D41" s="85" t="s">
        <v>392</v>
      </c>
      <c r="E41" s="85"/>
      <c r="F41" s="85"/>
      <c r="G41" s="85"/>
      <c r="H41" s="85"/>
      <c r="I41" s="409"/>
      <c r="J41" s="318"/>
      <c r="K41" s="326" t="s">
        <v>344</v>
      </c>
      <c r="L41" s="476">
        <v>1.278</v>
      </c>
      <c r="M41" s="326" t="s">
        <v>344</v>
      </c>
      <c r="N41" s="361">
        <v>1.398</v>
      </c>
      <c r="O41" s="320"/>
    </row>
    <row r="42" spans="1:15" ht="15.75" customHeight="1" thickBot="1">
      <c r="A42" s="318"/>
      <c r="B42" s="318"/>
      <c r="C42" s="369"/>
      <c r="D42" s="310" t="s">
        <v>393</v>
      </c>
      <c r="E42" s="310"/>
      <c r="F42" s="310"/>
      <c r="G42" s="310"/>
      <c r="H42" s="310"/>
      <c r="I42" s="414"/>
      <c r="J42" s="415"/>
      <c r="K42" s="327" t="s">
        <v>340</v>
      </c>
      <c r="L42" s="477">
        <f>IF(L37&gt;0,ROUND(+L40+L41,3),0)</f>
        <v>0</v>
      </c>
      <c r="M42" s="327" t="s">
        <v>340</v>
      </c>
      <c r="N42" s="357">
        <f>IF(N37&gt;0,ROUND(+N40+N41,3),0)</f>
        <v>0</v>
      </c>
      <c r="O42" s="320"/>
    </row>
    <row r="43" spans="1:15" ht="15.75" customHeight="1" thickTop="1">
      <c r="A43" s="318"/>
      <c r="B43" s="318"/>
      <c r="C43" s="353" t="s">
        <v>345</v>
      </c>
      <c r="D43" s="85"/>
      <c r="E43" s="85"/>
      <c r="F43" s="288"/>
      <c r="G43" s="288"/>
      <c r="H43" s="288"/>
      <c r="I43" s="409"/>
      <c r="J43" s="318"/>
      <c r="K43" s="297"/>
      <c r="L43" s="107"/>
      <c r="M43" s="354"/>
      <c r="N43" s="356"/>
      <c r="O43" s="320"/>
    </row>
    <row r="44" spans="1:15" ht="15.75" customHeight="1">
      <c r="A44" s="318"/>
      <c r="B44" s="318"/>
      <c r="C44" s="354"/>
      <c r="D44" s="85" t="s">
        <v>337</v>
      </c>
      <c r="E44" s="85"/>
      <c r="F44" s="85"/>
      <c r="G44" s="85"/>
      <c r="H44" s="85"/>
      <c r="I44" s="409"/>
      <c r="J44" s="318"/>
      <c r="K44" s="326"/>
      <c r="L44" s="478">
        <v>600</v>
      </c>
      <c r="M44" s="280"/>
      <c r="N44" s="364">
        <v>600</v>
      </c>
      <c r="O44" s="320"/>
    </row>
    <row r="45" spans="1:15" ht="15.75" customHeight="1">
      <c r="A45" s="318"/>
      <c r="B45" s="318"/>
      <c r="C45" s="354"/>
      <c r="D45" s="85" t="s">
        <v>367</v>
      </c>
      <c r="E45" s="85"/>
      <c r="F45" s="85"/>
      <c r="G45" s="85"/>
      <c r="H45" s="85"/>
      <c r="I45" s="409"/>
      <c r="J45" s="318"/>
      <c r="K45" s="326" t="s">
        <v>338</v>
      </c>
      <c r="L45" s="476">
        <f>IF('Data Entry'!I29&gt;499.999,IF('Data Entry'!I29&lt;600,'Data Entry'!I29,0),0)</f>
        <v>0</v>
      </c>
      <c r="M45" s="326" t="s">
        <v>338</v>
      </c>
      <c r="N45" s="361">
        <f>IF('Data Entry'!L29&gt;499.999,IF('Data Entry'!L29&lt;600,'Data Entry'!L29,0),0)</f>
        <v>0</v>
      </c>
      <c r="O45" s="320"/>
    </row>
    <row r="46" spans="1:15" ht="15.75" customHeight="1">
      <c r="A46" s="318"/>
      <c r="B46" s="318"/>
      <c r="C46" s="354"/>
      <c r="D46" s="85" t="s">
        <v>339</v>
      </c>
      <c r="E46" s="85"/>
      <c r="F46" s="85"/>
      <c r="G46" s="85"/>
      <c r="H46" s="85"/>
      <c r="I46" s="409"/>
      <c r="J46" s="318"/>
      <c r="K46" s="326" t="s">
        <v>340</v>
      </c>
      <c r="L46" s="479">
        <f>IF(L45&gt;0,ROUND(+L44-L45,3),0)</f>
        <v>0</v>
      </c>
      <c r="M46" s="326" t="s">
        <v>340</v>
      </c>
      <c r="N46" s="362">
        <f>IF(N45&gt;0,ROUND(+N44-N45,3),0)</f>
        <v>0</v>
      </c>
      <c r="O46" s="320"/>
    </row>
    <row r="47" spans="1:15" ht="15.75" customHeight="1">
      <c r="A47" s="318"/>
      <c r="B47" s="318"/>
      <c r="C47" s="354"/>
      <c r="D47" s="85" t="s">
        <v>341</v>
      </c>
      <c r="E47" s="85"/>
      <c r="F47" s="85"/>
      <c r="G47" s="85"/>
      <c r="H47" s="85"/>
      <c r="I47" s="409"/>
      <c r="J47" s="318"/>
      <c r="K47" s="326" t="s">
        <v>342</v>
      </c>
      <c r="L47" s="476">
        <v>0.0012</v>
      </c>
      <c r="M47" s="326" t="s">
        <v>342</v>
      </c>
      <c r="N47" s="361">
        <v>0.0013</v>
      </c>
      <c r="O47" s="320"/>
    </row>
    <row r="48" spans="1:15" ht="15.75" customHeight="1">
      <c r="A48" s="318"/>
      <c r="B48" s="318"/>
      <c r="C48" s="354"/>
      <c r="D48" s="85" t="s">
        <v>343</v>
      </c>
      <c r="E48" s="85"/>
      <c r="F48" s="85"/>
      <c r="G48" s="85"/>
      <c r="H48" s="85"/>
      <c r="I48" s="409"/>
      <c r="J48" s="318"/>
      <c r="K48" s="326" t="s">
        <v>340</v>
      </c>
      <c r="L48" s="476">
        <f>IF(L45&gt;0,ROUND(L46*L47,3),0)</f>
        <v>0</v>
      </c>
      <c r="M48" s="326" t="s">
        <v>340</v>
      </c>
      <c r="N48" s="361">
        <f>IF(N45&gt;0,ROUND(N46*N47,3),0)</f>
        <v>0</v>
      </c>
      <c r="O48" s="320"/>
    </row>
    <row r="49" spans="1:15" ht="15.75" customHeight="1">
      <c r="A49" s="318"/>
      <c r="B49" s="318"/>
      <c r="C49" s="354"/>
      <c r="D49" s="85" t="s">
        <v>392</v>
      </c>
      <c r="E49" s="85"/>
      <c r="F49" s="85"/>
      <c r="G49" s="85"/>
      <c r="H49" s="85"/>
      <c r="I49" s="409"/>
      <c r="J49" s="318"/>
      <c r="K49" s="326" t="s">
        <v>344</v>
      </c>
      <c r="L49" s="476">
        <v>1.158</v>
      </c>
      <c r="M49" s="326" t="s">
        <v>344</v>
      </c>
      <c r="N49" s="361">
        <v>1.268</v>
      </c>
      <c r="O49" s="320"/>
    </row>
    <row r="50" spans="1:15" ht="15.75" customHeight="1" thickBot="1">
      <c r="A50" s="318"/>
      <c r="B50" s="318"/>
      <c r="C50" s="369"/>
      <c r="D50" s="310" t="s">
        <v>393</v>
      </c>
      <c r="E50" s="310"/>
      <c r="F50" s="310"/>
      <c r="G50" s="310"/>
      <c r="H50" s="310"/>
      <c r="I50" s="414"/>
      <c r="J50" s="415"/>
      <c r="K50" s="327" t="s">
        <v>340</v>
      </c>
      <c r="L50" s="477">
        <f>IF(L45&gt;0,ROUND(+L48+L49,3),0)</f>
        <v>0</v>
      </c>
      <c r="M50" s="327" t="s">
        <v>340</v>
      </c>
      <c r="N50" s="357">
        <f>IF(N45&gt;0,ROUND(+N48+N49,3),0)</f>
        <v>0</v>
      </c>
      <c r="O50" s="320"/>
    </row>
    <row r="51" spans="1:15" ht="15.75" customHeight="1" thickTop="1">
      <c r="A51" s="318"/>
      <c r="B51" s="318"/>
      <c r="C51" s="353" t="s">
        <v>394</v>
      </c>
      <c r="D51" s="85"/>
      <c r="E51" s="85"/>
      <c r="F51" s="289"/>
      <c r="G51" s="289"/>
      <c r="H51" s="288"/>
      <c r="I51" s="409"/>
      <c r="J51" s="318"/>
      <c r="K51" s="297"/>
      <c r="L51" s="85"/>
      <c r="M51" s="354"/>
      <c r="N51" s="356"/>
      <c r="O51" s="320"/>
    </row>
    <row r="52" spans="1:15" ht="15.75" customHeight="1" thickBot="1">
      <c r="A52" s="318"/>
      <c r="B52" s="318"/>
      <c r="C52" s="281"/>
      <c r="D52" s="310" t="s">
        <v>393</v>
      </c>
      <c r="E52" s="310"/>
      <c r="F52" s="310"/>
      <c r="G52" s="310"/>
      <c r="H52" s="310"/>
      <c r="I52" s="414"/>
      <c r="J52" s="415"/>
      <c r="K52" s="309"/>
      <c r="L52" s="475">
        <v>1.158</v>
      </c>
      <c r="M52" s="426"/>
      <c r="N52" s="357">
        <v>1.268</v>
      </c>
      <c r="O52" s="320"/>
    </row>
    <row r="53" spans="1:15" ht="15.75" customHeight="1" thickTop="1">
      <c r="A53" s="318"/>
      <c r="B53" s="318"/>
      <c r="C53" s="318"/>
      <c r="D53" s="318"/>
      <c r="E53" s="409"/>
      <c r="F53" s="409"/>
      <c r="G53" s="409"/>
      <c r="H53" s="318"/>
      <c r="I53" s="409"/>
      <c r="J53" s="318"/>
      <c r="K53" s="318"/>
      <c r="L53" s="320"/>
      <c r="M53" s="320"/>
      <c r="N53" s="318"/>
      <c r="O53" s="320"/>
    </row>
    <row r="54" spans="1:15" ht="15.75" customHeight="1">
      <c r="A54" s="318"/>
      <c r="B54" s="318"/>
      <c r="C54" s="318"/>
      <c r="D54" s="318"/>
      <c r="E54" s="409"/>
      <c r="F54" s="409"/>
      <c r="G54" s="409"/>
      <c r="H54" s="318"/>
      <c r="I54" s="409"/>
      <c r="J54" s="318"/>
      <c r="K54" s="318"/>
      <c r="L54" s="320"/>
      <c r="M54" s="320"/>
      <c r="N54" s="318"/>
      <c r="O54" s="320"/>
    </row>
    <row r="55" spans="1:15" ht="15.75" customHeight="1">
      <c r="A55" s="318"/>
      <c r="B55" s="318"/>
      <c r="C55" s="318"/>
      <c r="D55" s="318"/>
      <c r="E55" s="409"/>
      <c r="F55" s="409"/>
      <c r="G55" s="409"/>
      <c r="H55" s="318"/>
      <c r="I55" s="409"/>
      <c r="J55" s="318"/>
      <c r="K55" s="318"/>
      <c r="L55" s="320"/>
      <c r="M55" s="320"/>
      <c r="N55" s="318"/>
      <c r="O55" s="320"/>
    </row>
    <row r="56" spans="1:15" ht="15.75" customHeight="1">
      <c r="A56" s="318"/>
      <c r="B56" s="282" t="s">
        <v>463</v>
      </c>
      <c r="C56" s="282"/>
      <c r="D56" s="85"/>
      <c r="E56" s="85"/>
      <c r="F56" s="85"/>
      <c r="G56" s="409"/>
      <c r="H56" s="318"/>
      <c r="I56" s="409"/>
      <c r="J56" s="318"/>
      <c r="K56" s="318"/>
      <c r="L56" s="320"/>
      <c r="M56" s="320"/>
      <c r="N56" s="318"/>
      <c r="O56" s="320"/>
    </row>
    <row r="57" spans="1:15" ht="15.75" customHeight="1">
      <c r="A57" s="318"/>
      <c r="B57" s="317">
        <v>1</v>
      </c>
      <c r="C57" s="85" t="s">
        <v>397</v>
      </c>
      <c r="D57" s="85"/>
      <c r="E57" s="85"/>
      <c r="F57" s="85"/>
      <c r="G57" s="409"/>
      <c r="H57" s="318"/>
      <c r="I57" s="409"/>
      <c r="J57" s="318"/>
      <c r="K57" s="318"/>
      <c r="L57" s="311">
        <f>IF('Data Entry'!I20&gt;0,IF('Data Entry'!I20&lt;100,L9,IF('Data Entry'!I20&lt;500,L17,IF('Data Entry'!I20&lt;600,L25,L27))),0)</f>
        <v>1.381</v>
      </c>
      <c r="M57" s="320"/>
      <c r="N57" s="104">
        <f>IF('Data Entry'!L20&gt;0,IF('Data Entry'!L20&lt;100,N9,IF('Data Entry'!L20&lt;500,N17,IF('Data Entry'!L20&lt;600,N25,N27))),0)</f>
        <v>0</v>
      </c>
      <c r="O57" s="320"/>
    </row>
    <row r="58" spans="1:15" ht="15.75" customHeight="1">
      <c r="A58" s="318"/>
      <c r="B58" s="317">
        <v>2</v>
      </c>
      <c r="C58" s="85" t="s">
        <v>398</v>
      </c>
      <c r="D58" s="85"/>
      <c r="E58" s="85"/>
      <c r="F58" s="85"/>
      <c r="G58" s="409"/>
      <c r="H58" s="318"/>
      <c r="I58" s="409"/>
      <c r="J58" s="318"/>
      <c r="K58" s="318"/>
      <c r="L58" s="104">
        <f>IF(AND('Data Entry'!I29=0,'Data Entry'!$A$7="X"),1.158,IF('Data Entry'!I29&gt;0,IF('Data Entry'!I29&lt;100,L34,IF('Data Entry'!I29&lt;500,L42,IF('Data Entry'!I29&lt;600,L50,L52))),0))</f>
        <v>0</v>
      </c>
      <c r="M58" s="320"/>
      <c r="N58" s="104">
        <f>IF(AND('Data Entry'!L29=0,'Data Entry'!$A$7="X"),1.268,IF('Data Entry'!L29&gt;0,IF('Data Entry'!L29&lt;100,N34,IF('Data Entry'!L29&lt;500,N42,IF('Data Entry'!L29&lt;600,N50,N52))),0))</f>
        <v>0</v>
      </c>
      <c r="O58" s="320"/>
    </row>
    <row r="59" spans="1:15" ht="15.75" customHeight="1">
      <c r="A59" s="318"/>
      <c r="B59" s="317">
        <v>3</v>
      </c>
      <c r="C59" s="304" t="s">
        <v>414</v>
      </c>
      <c r="D59" s="304"/>
      <c r="E59" s="304"/>
      <c r="F59" s="304"/>
      <c r="G59" s="409"/>
      <c r="H59" s="318"/>
      <c r="I59" s="409"/>
      <c r="J59" s="318"/>
      <c r="K59" s="318"/>
      <c r="L59" s="359">
        <f>IF('Data Entry'!$A$7="X",L57-L58,0)</f>
        <v>0</v>
      </c>
      <c r="M59" s="320"/>
      <c r="N59" s="359">
        <f>IF('Data Entry'!$A$7="X",N57-N58,0)</f>
        <v>0</v>
      </c>
      <c r="O59" s="320"/>
    </row>
    <row r="60" spans="1:15" ht="15.75" customHeight="1">
      <c r="A60" s="318"/>
      <c r="B60" s="318"/>
      <c r="C60" s="318"/>
      <c r="D60" s="318"/>
      <c r="E60" s="409"/>
      <c r="F60" s="409"/>
      <c r="G60" s="409"/>
      <c r="H60" s="318"/>
      <c r="I60" s="409"/>
      <c r="J60" s="318"/>
      <c r="K60" s="318"/>
      <c r="L60" s="320"/>
      <c r="M60" s="320"/>
      <c r="N60" s="318"/>
      <c r="O60" s="320"/>
    </row>
    <row r="61" spans="1:15" ht="15.75" customHeight="1">
      <c r="A61" s="318"/>
      <c r="B61" s="318"/>
      <c r="C61" s="318"/>
      <c r="D61" s="318"/>
      <c r="E61" s="409"/>
      <c r="F61" s="409"/>
      <c r="G61" s="409"/>
      <c r="H61" s="318"/>
      <c r="I61" s="409"/>
      <c r="J61" s="318"/>
      <c r="K61" s="318"/>
      <c r="L61" s="320"/>
      <c r="M61" s="320"/>
      <c r="N61" s="318"/>
      <c r="O61" s="320"/>
    </row>
    <row r="63" spans="1:14" ht="12.75">
      <c r="A63" s="316"/>
      <c r="B63" s="282" t="s">
        <v>462</v>
      </c>
      <c r="D63" s="316"/>
      <c r="E63" s="316"/>
      <c r="F63" s="316"/>
      <c r="G63" s="316"/>
      <c r="H63" s="300"/>
      <c r="I63" s="300"/>
      <c r="J63" s="300"/>
      <c r="L63" s="319" t="s">
        <v>333</v>
      </c>
      <c r="M63" s="300"/>
      <c r="N63" s="320" t="s">
        <v>334</v>
      </c>
    </row>
    <row r="64" spans="2:16" ht="12.75">
      <c r="B64" s="452">
        <v>1</v>
      </c>
      <c r="C64" s="300" t="s">
        <v>346</v>
      </c>
      <c r="D64" s="300"/>
      <c r="E64" s="300"/>
      <c r="F64" s="300"/>
      <c r="G64" s="300"/>
      <c r="H64" s="300"/>
      <c r="I64" s="300"/>
      <c r="J64" s="300"/>
      <c r="L64" s="447">
        <f>'Data Entry'!I17</f>
        <v>158</v>
      </c>
      <c r="N64" s="447">
        <f>'Data Entry'!L17</f>
        <v>0</v>
      </c>
      <c r="P64" s="428"/>
    </row>
    <row r="65" spans="2:16" ht="12.75">
      <c r="B65" s="452">
        <v>2</v>
      </c>
      <c r="C65" s="300" t="s">
        <v>444</v>
      </c>
      <c r="D65" s="300"/>
      <c r="E65" s="300"/>
      <c r="F65" s="300"/>
      <c r="G65" s="300"/>
      <c r="H65" s="300"/>
      <c r="I65" s="300"/>
      <c r="J65" s="300"/>
      <c r="L65" s="448">
        <f>'Data Entry'!I18*95%</f>
        <v>0</v>
      </c>
      <c r="N65" s="449">
        <f>'Data Entry'!L18*95%</f>
        <v>0</v>
      </c>
      <c r="P65" s="428"/>
    </row>
    <row r="66" spans="2:14" ht="12.75">
      <c r="B66" s="452">
        <v>3</v>
      </c>
      <c r="C66" s="300" t="s">
        <v>445</v>
      </c>
      <c r="D66" s="300"/>
      <c r="E66" s="300"/>
      <c r="F66" s="300"/>
      <c r="G66" s="300"/>
      <c r="H66" s="300"/>
      <c r="I66" s="300"/>
      <c r="L66" s="449">
        <f>'Data Entry'!I19*85%</f>
        <v>0</v>
      </c>
      <c r="N66" s="449">
        <f>'Data Entry'!L19*85%</f>
        <v>0</v>
      </c>
    </row>
    <row r="67" spans="2:14" ht="12.75">
      <c r="B67" s="317">
        <v>4</v>
      </c>
      <c r="C67" s="300" t="s">
        <v>402</v>
      </c>
      <c r="D67" s="300"/>
      <c r="E67" s="300"/>
      <c r="F67" s="300"/>
      <c r="G67" s="300"/>
      <c r="H67" s="300"/>
      <c r="I67" s="300"/>
      <c r="L67" s="448">
        <f>SUM(L64:L66)</f>
        <v>158</v>
      </c>
      <c r="N67" s="448">
        <f>SUM(N64:N66)</f>
        <v>0</v>
      </c>
    </row>
    <row r="68" spans="2:14" ht="12.75">
      <c r="B68" s="317">
        <v>5</v>
      </c>
      <c r="C68" s="300" t="s">
        <v>399</v>
      </c>
      <c r="D68" s="300"/>
      <c r="E68" s="300"/>
      <c r="F68" s="300"/>
      <c r="G68" s="300"/>
      <c r="H68" s="300"/>
      <c r="I68" s="300"/>
      <c r="L68" s="448">
        <f>L59</f>
        <v>0</v>
      </c>
      <c r="N68" s="448">
        <f>N59</f>
        <v>0</v>
      </c>
    </row>
    <row r="69" spans="2:14" ht="12.75">
      <c r="B69" s="317">
        <v>6</v>
      </c>
      <c r="C69" s="300" t="s">
        <v>400</v>
      </c>
      <c r="D69" s="300"/>
      <c r="E69" s="300"/>
      <c r="F69" s="300"/>
      <c r="G69" s="300"/>
      <c r="H69" s="300"/>
      <c r="I69" s="300"/>
      <c r="L69" s="448">
        <f>L67*L68</f>
        <v>0</v>
      </c>
      <c r="N69" s="448">
        <f>N67*N68</f>
        <v>0</v>
      </c>
    </row>
    <row r="70" spans="2:14" ht="12.75">
      <c r="B70" s="317">
        <v>7</v>
      </c>
      <c r="C70" s="300" t="s">
        <v>525</v>
      </c>
      <c r="D70" s="300"/>
      <c r="E70" s="300"/>
      <c r="F70" s="300"/>
      <c r="G70" s="300"/>
      <c r="H70" s="300"/>
      <c r="I70" s="300"/>
      <c r="K70" s="350" t="s">
        <v>4</v>
      </c>
      <c r="L70" s="498">
        <f>IF('Data Entry'!C61="X",(4150.43*0.05)+4150.43,4150.43)</f>
        <v>4150.43</v>
      </c>
      <c r="M70" s="499" t="s">
        <v>4</v>
      </c>
      <c r="N70" s="498">
        <f>IF('Data Entry'!C61="X",(4150.43*0.05)+4150.43,4150.43)</f>
        <v>4150.43</v>
      </c>
    </row>
    <row r="71" spans="2:14" ht="12.75">
      <c r="B71" s="317">
        <v>8</v>
      </c>
      <c r="C71" s="300" t="s">
        <v>450</v>
      </c>
      <c r="D71" s="300"/>
      <c r="E71" s="300"/>
      <c r="F71" s="300"/>
      <c r="G71" s="300"/>
      <c r="H71" s="300"/>
      <c r="I71" s="300"/>
      <c r="K71" s="350" t="s">
        <v>4</v>
      </c>
      <c r="L71" s="337">
        <f>L69*L70</f>
        <v>0</v>
      </c>
      <c r="M71" s="350" t="s">
        <v>4</v>
      </c>
      <c r="N71" s="337">
        <f>N69*N70</f>
        <v>0</v>
      </c>
    </row>
    <row r="72" spans="2:14" ht="13.5" thickBot="1">
      <c r="B72" s="317">
        <v>9</v>
      </c>
      <c r="C72" s="300" t="s">
        <v>401</v>
      </c>
      <c r="D72" s="300"/>
      <c r="E72" s="300"/>
      <c r="F72" s="300"/>
      <c r="G72" s="300"/>
      <c r="H72" s="300"/>
      <c r="I72" s="300"/>
      <c r="M72" s="350" t="s">
        <v>4</v>
      </c>
      <c r="N72" s="343">
        <f>L71+N71</f>
        <v>0</v>
      </c>
    </row>
    <row r="73" ht="12.75" thickTop="1"/>
    <row r="74" spans="1:6" ht="12.75">
      <c r="A74" s="316"/>
      <c r="C74" s="316"/>
      <c r="D74" s="316"/>
      <c r="E74" s="316"/>
      <c r="F74" s="316"/>
    </row>
    <row r="75" spans="1:31" ht="12.75">
      <c r="A75" s="316"/>
      <c r="B75" s="430" t="s">
        <v>461</v>
      </c>
      <c r="C75" s="316"/>
      <c r="D75" s="316"/>
      <c r="E75" s="316"/>
      <c r="F75" s="316"/>
      <c r="T75" s="561"/>
      <c r="U75" s="561"/>
      <c r="V75" s="561"/>
      <c r="W75" s="561"/>
      <c r="X75" s="561"/>
      <c r="Y75" s="561"/>
      <c r="Z75" s="561"/>
      <c r="AA75" s="561"/>
      <c r="AB75" s="561"/>
      <c r="AC75" s="561"/>
      <c r="AD75" s="561"/>
      <c r="AE75" s="561"/>
    </row>
    <row r="76" spans="2:16" ht="12.75" customHeight="1">
      <c r="B76" s="677" t="s">
        <v>480</v>
      </c>
      <c r="C76" s="677"/>
      <c r="D76" s="677"/>
      <c r="E76" s="677"/>
      <c r="F76" s="677"/>
      <c r="G76" s="677"/>
      <c r="H76" s="677"/>
      <c r="I76" s="677"/>
      <c r="J76" s="677"/>
      <c r="K76" s="677"/>
      <c r="L76" s="677"/>
      <c r="M76" s="677"/>
      <c r="N76" s="677"/>
      <c r="O76" s="677"/>
      <c r="P76" s="428"/>
    </row>
    <row r="77" spans="2:16" ht="12.75" customHeight="1">
      <c r="B77" s="677"/>
      <c r="C77" s="677"/>
      <c r="D77" s="677"/>
      <c r="E77" s="677"/>
      <c r="F77" s="677"/>
      <c r="G77" s="677"/>
      <c r="H77" s="677"/>
      <c r="I77" s="677"/>
      <c r="J77" s="677"/>
      <c r="K77" s="677"/>
      <c r="L77" s="677"/>
      <c r="M77" s="677"/>
      <c r="N77" s="677"/>
      <c r="O77" s="677"/>
      <c r="P77" s="428"/>
    </row>
    <row r="78" spans="2:16" ht="12.75" customHeight="1">
      <c r="B78" s="677"/>
      <c r="C78" s="677"/>
      <c r="D78" s="677"/>
      <c r="E78" s="677"/>
      <c r="F78" s="677"/>
      <c r="G78" s="677"/>
      <c r="H78" s="677"/>
      <c r="I78" s="677"/>
      <c r="J78" s="677"/>
      <c r="K78" s="677"/>
      <c r="L78" s="677"/>
      <c r="M78" s="677"/>
      <c r="N78" s="677"/>
      <c r="O78" s="677"/>
      <c r="P78" s="428"/>
    </row>
    <row r="79" spans="2:16" ht="12.75" customHeight="1">
      <c r="B79" s="677"/>
      <c r="C79" s="677"/>
      <c r="D79" s="677"/>
      <c r="E79" s="677"/>
      <c r="F79" s="677"/>
      <c r="G79" s="677"/>
      <c r="H79" s="677"/>
      <c r="I79" s="677"/>
      <c r="J79" s="677"/>
      <c r="K79" s="677"/>
      <c r="L79" s="677"/>
      <c r="M79" s="677"/>
      <c r="N79" s="677"/>
      <c r="O79" s="677"/>
      <c r="P79" s="428"/>
    </row>
    <row r="80" spans="2:16" ht="12.75" customHeight="1">
      <c r="B80" s="677"/>
      <c r="C80" s="677"/>
      <c r="D80" s="677"/>
      <c r="E80" s="677"/>
      <c r="F80" s="677"/>
      <c r="G80" s="677"/>
      <c r="H80" s="677"/>
      <c r="I80" s="677"/>
      <c r="J80" s="677"/>
      <c r="K80" s="677"/>
      <c r="L80" s="677"/>
      <c r="M80" s="677"/>
      <c r="N80" s="677"/>
      <c r="O80" s="677"/>
      <c r="P80" s="428"/>
    </row>
    <row r="81" spans="2:16" ht="12.75" customHeight="1">
      <c r="B81" s="677"/>
      <c r="C81" s="677"/>
      <c r="D81" s="677"/>
      <c r="E81" s="677"/>
      <c r="F81" s="677"/>
      <c r="G81" s="677"/>
      <c r="H81" s="677"/>
      <c r="I81" s="677"/>
      <c r="J81" s="677"/>
      <c r="K81" s="677"/>
      <c r="L81" s="677"/>
      <c r="M81" s="677"/>
      <c r="N81" s="677"/>
      <c r="O81" s="677"/>
      <c r="P81" s="428"/>
    </row>
    <row r="82" spans="2:16" ht="12.75" customHeight="1">
      <c r="B82" s="453"/>
      <c r="C82" s="453"/>
      <c r="D82" s="453"/>
      <c r="E82" s="453"/>
      <c r="F82" s="453"/>
      <c r="G82" s="453"/>
      <c r="H82" s="453"/>
      <c r="I82" s="453"/>
      <c r="J82" s="453"/>
      <c r="K82" s="453"/>
      <c r="L82" s="453"/>
      <c r="M82" s="453"/>
      <c r="N82" s="453"/>
      <c r="O82" s="453"/>
      <c r="P82" s="428"/>
    </row>
    <row r="83" spans="2:26" ht="12.75">
      <c r="B83" s="686" t="s">
        <v>361</v>
      </c>
      <c r="C83" s="686"/>
      <c r="D83" s="686"/>
      <c r="E83" s="686"/>
      <c r="F83" s="686"/>
      <c r="G83" s="686"/>
      <c r="H83" s="300"/>
      <c r="M83" s="350"/>
      <c r="N83" s="344"/>
      <c r="V83" s="305"/>
      <c r="W83" s="305"/>
      <c r="X83" s="305"/>
      <c r="Y83" s="305"/>
      <c r="Z83" s="305"/>
    </row>
    <row r="84" spans="2:18" ht="12.75" customHeight="1">
      <c r="B84" s="300"/>
      <c r="C84" s="300"/>
      <c r="D84" s="300"/>
      <c r="E84" s="374"/>
      <c r="F84" s="321" t="s">
        <v>351</v>
      </c>
      <c r="G84" s="432" t="s">
        <v>350</v>
      </c>
      <c r="H84" s="434"/>
      <c r="M84" s="350"/>
      <c r="N84" s="344"/>
      <c r="R84" s="374"/>
    </row>
    <row r="85" spans="2:18" ht="12.75">
      <c r="B85" s="300" t="s">
        <v>362</v>
      </c>
      <c r="C85" s="300"/>
      <c r="D85" s="300"/>
      <c r="E85" s="332"/>
      <c r="F85" s="322">
        <f>'Data Entry'!I39*0.06</f>
        <v>6.48</v>
      </c>
      <c r="G85" s="433">
        <f>'Data Entry'!I38*0.04</f>
        <v>4.32</v>
      </c>
      <c r="H85" s="435"/>
      <c r="N85" s="411"/>
      <c r="R85" s="332"/>
    </row>
    <row r="86" spans="2:18" ht="12.75" customHeight="1">
      <c r="B86" s="300" t="s">
        <v>363</v>
      </c>
      <c r="C86" s="300"/>
      <c r="D86" s="300"/>
      <c r="E86" s="332"/>
      <c r="F86" s="322">
        <f>'Data Entry'!J39*0.06*0.95</f>
        <v>0</v>
      </c>
      <c r="G86" s="433">
        <f>'Data Entry'!J38*0.04*0.95</f>
        <v>0</v>
      </c>
      <c r="H86" s="435"/>
      <c r="M86" s="350"/>
      <c r="N86" s="344"/>
      <c r="Q86" s="300"/>
      <c r="R86" s="332"/>
    </row>
    <row r="87" spans="2:18" ht="12.75" customHeight="1">
      <c r="B87" s="300" t="s">
        <v>364</v>
      </c>
      <c r="C87" s="436"/>
      <c r="D87" s="436"/>
      <c r="E87" s="332"/>
      <c r="F87" s="322">
        <f>'Data Entry'!K39*0.06*0.85</f>
        <v>0</v>
      </c>
      <c r="G87" s="433">
        <f>'Data Entry'!K38*0.04*0.85</f>
        <v>0</v>
      </c>
      <c r="H87" s="435"/>
      <c r="I87" s="300"/>
      <c r="L87" s="85" t="s">
        <v>351</v>
      </c>
      <c r="M87" s="446" t="s">
        <v>4</v>
      </c>
      <c r="N87" s="444">
        <f>L70*F88</f>
        <v>26894.79</v>
      </c>
      <c r="Q87" s="374"/>
      <c r="R87" s="332"/>
    </row>
    <row r="88" spans="2:18" ht="12.75">
      <c r="B88" s="300" t="s">
        <v>202</v>
      </c>
      <c r="C88" s="436"/>
      <c r="D88" s="436"/>
      <c r="E88" s="332"/>
      <c r="F88" s="322">
        <f>SUM(F85:F87)</f>
        <v>6.48</v>
      </c>
      <c r="G88" s="433">
        <f>SUM(G85:G87)</f>
        <v>4.32</v>
      </c>
      <c r="H88" s="435"/>
      <c r="I88" s="300"/>
      <c r="L88" s="85" t="s">
        <v>350</v>
      </c>
      <c r="M88" s="446" t="s">
        <v>4</v>
      </c>
      <c r="N88" s="445">
        <f>L70*G88</f>
        <v>17929.86</v>
      </c>
      <c r="P88" s="300"/>
      <c r="Q88" s="332"/>
      <c r="R88" s="332"/>
    </row>
    <row r="89" spans="2:17" ht="12.75" customHeight="1">
      <c r="B89" s="436"/>
      <c r="C89" s="436"/>
      <c r="D89" s="436"/>
      <c r="E89" s="300"/>
      <c r="F89" s="436"/>
      <c r="G89" s="436"/>
      <c r="H89" s="436"/>
      <c r="I89" s="300"/>
      <c r="M89" s="350"/>
      <c r="N89" s="344"/>
      <c r="P89" s="300"/>
      <c r="Q89" s="332"/>
    </row>
    <row r="90" spans="1:17" ht="12.75" customHeight="1">
      <c r="A90" s="437"/>
      <c r="B90" s="676" t="s">
        <v>365</v>
      </c>
      <c r="C90" s="676"/>
      <c r="D90" s="676"/>
      <c r="E90" s="676"/>
      <c r="F90" s="676"/>
      <c r="G90" s="676"/>
      <c r="H90" s="436"/>
      <c r="I90" s="300"/>
      <c r="M90" s="350"/>
      <c r="N90" s="344"/>
      <c r="P90" s="300"/>
      <c r="Q90" s="332"/>
    </row>
    <row r="91" spans="1:17" ht="12.75">
      <c r="A91" s="117"/>
      <c r="B91" s="676"/>
      <c r="C91" s="676"/>
      <c r="D91" s="676"/>
      <c r="E91" s="676"/>
      <c r="F91" s="676"/>
      <c r="G91" s="676"/>
      <c r="H91" s="300"/>
      <c r="I91" s="300"/>
      <c r="M91" s="350"/>
      <c r="N91" s="344"/>
      <c r="P91" s="300"/>
      <c r="Q91" s="332"/>
    </row>
    <row r="92" spans="1:18" ht="12.75" customHeight="1">
      <c r="A92" s="117"/>
      <c r="B92" s="117"/>
      <c r="C92" s="117"/>
      <c r="M92" s="345"/>
      <c r="N92" s="429"/>
      <c r="P92" s="645"/>
      <c r="Q92" s="645"/>
      <c r="R92" s="645"/>
    </row>
    <row r="93" spans="1:18" ht="12.75" customHeight="1">
      <c r="A93" s="117"/>
      <c r="B93" s="117"/>
      <c r="C93" s="117"/>
      <c r="D93" s="300"/>
      <c r="F93" s="317"/>
      <c r="G93" s="300"/>
      <c r="H93" s="300"/>
      <c r="I93" s="300"/>
      <c r="L93" s="85"/>
      <c r="M93" s="350"/>
      <c r="N93" s="431"/>
      <c r="P93" s="645"/>
      <c r="Q93" s="645"/>
      <c r="R93" s="645"/>
    </row>
    <row r="94" spans="1:18" ht="12.75">
      <c r="A94" s="117"/>
      <c r="B94" s="117"/>
      <c r="C94" s="117"/>
      <c r="L94" s="85"/>
      <c r="M94" s="350"/>
      <c r="N94" s="431"/>
      <c r="P94" s="323"/>
      <c r="Q94" s="323"/>
      <c r="R94" s="323"/>
    </row>
    <row r="95" spans="1:18" ht="12.75">
      <c r="A95" s="117"/>
      <c r="B95" s="117"/>
      <c r="C95" s="117"/>
      <c r="L95" s="85"/>
      <c r="M95" s="350"/>
      <c r="N95" s="336"/>
      <c r="P95" s="323"/>
      <c r="Q95" s="323"/>
      <c r="R95" s="323"/>
    </row>
    <row r="96" spans="1:12" ht="12.75">
      <c r="A96" s="316" t="s">
        <v>526</v>
      </c>
      <c r="C96" s="316"/>
      <c r="D96" s="316"/>
      <c r="E96" s="316"/>
      <c r="F96" s="316"/>
      <c r="G96" s="316"/>
      <c r="H96" s="316"/>
      <c r="I96" s="316"/>
      <c r="J96" s="316"/>
      <c r="K96" s="316"/>
      <c r="L96" s="316"/>
    </row>
    <row r="97" spans="1:15" ht="12.75" customHeight="1">
      <c r="A97" s="681" t="s">
        <v>527</v>
      </c>
      <c r="B97" s="681"/>
      <c r="C97" s="681"/>
      <c r="D97" s="681"/>
      <c r="E97" s="681"/>
      <c r="F97" s="681"/>
      <c r="G97" s="681"/>
      <c r="H97" s="681"/>
      <c r="I97" s="681"/>
      <c r="J97" s="681"/>
      <c r="K97" s="681"/>
      <c r="L97" s="681"/>
      <c r="M97" s="681"/>
      <c r="N97" s="681"/>
      <c r="O97" s="681"/>
    </row>
    <row r="98" spans="1:15" ht="12.75" customHeight="1">
      <c r="A98" s="681"/>
      <c r="B98" s="681"/>
      <c r="C98" s="681"/>
      <c r="D98" s="681"/>
      <c r="E98" s="681"/>
      <c r="F98" s="681"/>
      <c r="G98" s="681"/>
      <c r="H98" s="681"/>
      <c r="I98" s="681"/>
      <c r="J98" s="681"/>
      <c r="K98" s="681"/>
      <c r="L98" s="681"/>
      <c r="M98" s="681"/>
      <c r="N98" s="681"/>
      <c r="O98" s="681"/>
    </row>
    <row r="99" spans="1:15" ht="12.75" customHeight="1">
      <c r="A99" s="436"/>
      <c r="B99" s="436"/>
      <c r="C99" s="436"/>
      <c r="D99" s="436"/>
      <c r="E99" s="436"/>
      <c r="F99" s="436"/>
      <c r="G99" s="436"/>
      <c r="H99" s="436"/>
      <c r="I99" s="436"/>
      <c r="J99" s="436"/>
      <c r="K99" s="436"/>
      <c r="L99" s="436"/>
      <c r="M99" s="436"/>
      <c r="N99" s="436"/>
      <c r="O99" s="469"/>
    </row>
    <row r="100" spans="2:14" ht="12.75">
      <c r="B100" s="335"/>
      <c r="J100" s="319"/>
      <c r="L100" s="319" t="s">
        <v>333</v>
      </c>
      <c r="N100" s="319" t="s">
        <v>334</v>
      </c>
    </row>
    <row r="101" spans="2:14" ht="12.75">
      <c r="B101" s="427">
        <v>1</v>
      </c>
      <c r="C101" s="85" t="s">
        <v>523</v>
      </c>
      <c r="J101" s="411"/>
      <c r="K101" s="300" t="s">
        <v>4</v>
      </c>
      <c r="L101" s="342">
        <f>CHAR55!D128</f>
        <v>291216.12</v>
      </c>
      <c r="M101" s="300" t="s">
        <v>4</v>
      </c>
      <c r="N101" s="342">
        <f>CHAR55!E128</f>
        <v>0</v>
      </c>
    </row>
    <row r="102" spans="2:14" ht="12.75">
      <c r="B102" s="317">
        <v>2</v>
      </c>
      <c r="C102" s="85" t="s">
        <v>441</v>
      </c>
      <c r="J102" s="344"/>
      <c r="K102" s="300" t="s">
        <v>4</v>
      </c>
      <c r="L102" s="337">
        <f>L101*0.018</f>
        <v>5241.89</v>
      </c>
      <c r="M102" s="300" t="s">
        <v>4</v>
      </c>
      <c r="N102" s="337">
        <f>N101*0.018</f>
        <v>0</v>
      </c>
    </row>
    <row r="103" spans="1:19" ht="15.75">
      <c r="A103" s="340"/>
      <c r="B103" s="338"/>
      <c r="C103" s="338"/>
      <c r="D103" s="338"/>
      <c r="E103" s="338"/>
      <c r="F103" s="338"/>
      <c r="G103" s="338"/>
      <c r="H103" s="338"/>
      <c r="I103" s="338"/>
      <c r="J103" s="338"/>
      <c r="K103" s="338"/>
      <c r="L103" s="338"/>
      <c r="N103" s="339"/>
      <c r="O103" s="339"/>
      <c r="S103" s="341"/>
    </row>
    <row r="104" spans="2:23" ht="12.75">
      <c r="B104" s="317"/>
      <c r="C104" s="300"/>
      <c r="D104" s="300"/>
      <c r="E104" s="300"/>
      <c r="F104" s="300"/>
      <c r="N104" s="344"/>
      <c r="W104" s="341"/>
    </row>
    <row r="105" spans="1:23" ht="12.75">
      <c r="A105" s="282" t="s">
        <v>464</v>
      </c>
      <c r="B105" s="282"/>
      <c r="C105" s="282"/>
      <c r="D105" s="282"/>
      <c r="E105" s="282"/>
      <c r="F105" s="282"/>
      <c r="G105" s="282"/>
      <c r="H105" s="282"/>
      <c r="I105" s="282"/>
      <c r="J105" s="282"/>
      <c r="K105" s="282"/>
      <c r="L105" s="282"/>
      <c r="N105" s="344"/>
      <c r="W105" s="341"/>
    </row>
    <row r="106" spans="1:23" ht="12.75" customHeight="1">
      <c r="A106" s="685" t="s">
        <v>446</v>
      </c>
      <c r="B106" s="685"/>
      <c r="C106" s="685"/>
      <c r="D106" s="685"/>
      <c r="E106" s="685"/>
      <c r="F106" s="685"/>
      <c r="G106" s="685"/>
      <c r="H106" s="685"/>
      <c r="I106" s="685"/>
      <c r="J106" s="685"/>
      <c r="K106" s="685"/>
      <c r="L106" s="685"/>
      <c r="M106" s="685"/>
      <c r="N106" s="685"/>
      <c r="O106" s="685"/>
      <c r="W106" s="341"/>
    </row>
    <row r="107" spans="1:23" ht="12.75" customHeight="1">
      <c r="A107" s="685"/>
      <c r="B107" s="685"/>
      <c r="C107" s="685"/>
      <c r="D107" s="685"/>
      <c r="E107" s="685"/>
      <c r="F107" s="685"/>
      <c r="G107" s="685"/>
      <c r="H107" s="685"/>
      <c r="I107" s="685"/>
      <c r="J107" s="685"/>
      <c r="K107" s="685"/>
      <c r="L107" s="685"/>
      <c r="M107" s="685"/>
      <c r="N107" s="685"/>
      <c r="O107" s="685"/>
      <c r="W107" s="341"/>
    </row>
    <row r="108" spans="1:23" ht="12.75" customHeight="1">
      <c r="A108" s="685"/>
      <c r="B108" s="685"/>
      <c r="C108" s="685"/>
      <c r="D108" s="685"/>
      <c r="E108" s="685"/>
      <c r="F108" s="685"/>
      <c r="G108" s="685"/>
      <c r="H108" s="685"/>
      <c r="I108" s="685"/>
      <c r="J108" s="685"/>
      <c r="K108" s="685"/>
      <c r="L108" s="685"/>
      <c r="M108" s="685"/>
      <c r="N108" s="685"/>
      <c r="O108" s="685"/>
      <c r="W108" s="341"/>
    </row>
    <row r="109" spans="1:23" ht="12.75" customHeight="1">
      <c r="A109" s="685"/>
      <c r="B109" s="685"/>
      <c r="C109" s="685"/>
      <c r="D109" s="685"/>
      <c r="E109" s="685"/>
      <c r="F109" s="685"/>
      <c r="G109" s="685"/>
      <c r="H109" s="685"/>
      <c r="I109" s="685"/>
      <c r="J109" s="685"/>
      <c r="K109" s="685"/>
      <c r="L109" s="685"/>
      <c r="M109" s="685"/>
      <c r="N109" s="685"/>
      <c r="O109" s="685"/>
      <c r="W109" s="341"/>
    </row>
    <row r="110" spans="1:23" ht="12.75">
      <c r="A110" s="284"/>
      <c r="B110" s="284"/>
      <c r="C110" s="284"/>
      <c r="D110" s="284"/>
      <c r="E110" s="284"/>
      <c r="F110" s="284"/>
      <c r="G110" s="284"/>
      <c r="H110" s="284"/>
      <c r="I110" s="284"/>
      <c r="J110" s="284"/>
      <c r="K110" s="284"/>
      <c r="L110" s="284"/>
      <c r="N110" s="344"/>
      <c r="W110" s="341"/>
    </row>
    <row r="111" spans="2:25" ht="12.75">
      <c r="B111" s="427">
        <v>1</v>
      </c>
      <c r="C111" s="85" t="s">
        <v>418</v>
      </c>
      <c r="D111" s="300"/>
      <c r="E111" s="300"/>
      <c r="F111" s="300"/>
      <c r="M111" s="446" t="s">
        <v>4</v>
      </c>
      <c r="N111" s="444">
        <f>50000000*'Data Entry'!N76</f>
        <v>10000</v>
      </c>
      <c r="T111" s="345"/>
      <c r="X111" s="680"/>
      <c r="Y111" s="680"/>
    </row>
    <row r="112" spans="2:14" ht="12.75">
      <c r="B112" s="317"/>
      <c r="C112" s="300"/>
      <c r="D112" s="300"/>
      <c r="E112" s="300"/>
      <c r="F112" s="300"/>
      <c r="N112" s="344"/>
    </row>
    <row r="114" ht="12.75">
      <c r="A114" s="282" t="s">
        <v>534</v>
      </c>
    </row>
    <row r="115" spans="2:14" ht="12.75">
      <c r="B115" s="427">
        <v>1</v>
      </c>
      <c r="C115" s="85" t="s">
        <v>530</v>
      </c>
      <c r="M115" s="446" t="s">
        <v>4</v>
      </c>
      <c r="N115" s="444">
        <f>CHAR55!C135</f>
        <v>1250255.9</v>
      </c>
    </row>
    <row r="116" spans="2:14" ht="12.75">
      <c r="B116" s="427">
        <v>2</v>
      </c>
      <c r="C116" s="85" t="s">
        <v>401</v>
      </c>
      <c r="M116" s="446" t="s">
        <v>4</v>
      </c>
      <c r="N116" s="444">
        <f>N72</f>
        <v>0</v>
      </c>
    </row>
    <row r="117" spans="2:14" ht="12.75">
      <c r="B117" s="317">
        <v>3</v>
      </c>
      <c r="C117" s="85" t="s">
        <v>406</v>
      </c>
      <c r="M117" s="350" t="s">
        <v>4</v>
      </c>
      <c r="N117" s="444">
        <f>N115-N116</f>
        <v>1250255.9</v>
      </c>
    </row>
  </sheetData>
  <sheetProtection sheet="1" formatCells="0" formatColumns="0" formatRows="0"/>
  <mergeCells count="12">
    <mergeCell ref="A106:O109"/>
    <mergeCell ref="B83:G83"/>
    <mergeCell ref="B90:G91"/>
    <mergeCell ref="T75:AE75"/>
    <mergeCell ref="B76:O81"/>
    <mergeCell ref="L1:M1"/>
    <mergeCell ref="X111:Y111"/>
    <mergeCell ref="P92:R93"/>
    <mergeCell ref="A97:O98"/>
    <mergeCell ref="A1:D1"/>
    <mergeCell ref="E1:G1"/>
    <mergeCell ref="J1:K1"/>
  </mergeCells>
  <hyperlinks>
    <hyperlink ref="B64" location="IndividualCharterSchoolCounts" display="IndividualCharterSchoolCounts"/>
    <hyperlink ref="B65" location="IndividualCharterSchoolCounts" display="IndividualCharterSchoolCounts"/>
    <hyperlink ref="B66" location="IndividualCharterSchoolCounts" display="IndividualCharterSchoolCounts"/>
    <hyperlink ref="C31:O31" location="'Data Entry'!B22" display="Table 2 - Charter Holder Total Charter School Counts (only calculated if one or more criteria are checked on the Data Entry Tab)"/>
    <hyperlink ref="B57" location="IndividualCharterSchoolCounts" display="IndividualCharterSchoolCounts"/>
    <hyperlink ref="B58" location="IndividualCharterSchoolCounts" display="IndividualCharterSchoolCounts"/>
    <hyperlink ref="B59" location="IndividualCharterSchoolCounts" display="IndividualCharterSchoolCounts"/>
    <hyperlink ref="B111" location="PercentStatewideWeightedStudentCount" display="PercentStatewideWeightedStudentCount"/>
    <hyperlink ref="C6:G6" location="IndividualCharterSchoolCounts" display="Table 1 - Individual Charter School Counts "/>
    <hyperlink ref="C6:H6" location="'Data Entry'!B13" display="Table 1 - Individual Charter School Counts "/>
    <hyperlink ref="B64:B66" location="'Data Entry'!B13" display="'Data Entry'!B13"/>
    <hyperlink ref="C31" location="'Data Entry'!B22" display="Table 2 - Charter Holder Total Charter School Counts (only calculated if one or more criteria are checked on the Data Entry Tab)"/>
    <hyperlink ref="B101" location="CHAR55!A128" display="CHAR55!A128"/>
    <hyperlink ref="B115" location="CHAR55!A135" display="CHAR55!A135"/>
    <hyperlink ref="B116" location="Calculations!N72" display="Calculations!N72"/>
  </hyperlinks>
  <printOptions horizontalCentered="1"/>
  <pageMargins left="0.2" right="0.2" top="0.25" bottom="0.25" header="0.5" footer="0.25"/>
  <pageSetup horizontalDpi="600" verticalDpi="600" orientation="portrait" paperSize="5" scale="79" r:id="rId1"/>
  <headerFooter>
    <oddFooter>&amp;L&amp;"Arial,Bold"Rev. 5/19 Arizona Department of Education and Auditor General&amp;R&amp;"Arial,Bold"Calculations</oddFooter>
  </headerFooter>
  <rowBreaks count="1" manualBreakCount="1">
    <brk id="61"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setup</cp:lastModifiedBy>
  <cp:lastPrinted>2019-06-03T16:28:35Z</cp:lastPrinted>
  <dcterms:created xsi:type="dcterms:W3CDTF">1997-10-08T16:25:08Z</dcterms:created>
  <dcterms:modified xsi:type="dcterms:W3CDTF">2019-06-11T21:46:05Z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2020</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