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08" firstSheet="2" activeTab="3"/>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<sst xmlns="http://schemas.openxmlformats.org/spreadsheetml/2006/main" count="1127" uniqueCount="572">
  <si>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</si>
  <si>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</si>
  <si>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</si>
  <si>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</si>
  <si>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</si>
  <si>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</si>
  <si>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</si>
  <si>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</si>
  <si>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</si>
  <si>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</si>
  <si>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</si>
  <si>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</si>
  <si>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</si>
  <si>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</si>
  <si>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</si>
  <si>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</si>
  <si>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</si>
  <si>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</si>
  <si>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</si>
  <si>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</si>
  <si>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</si>
  <si>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</si>
  <si>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</si>
  <si>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</si>
  <si>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</si>
  <si>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</si>
  <si>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</si>
  <si>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</si>
  <si>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</si>
  <si>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</si>
  <si>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</si>
  <si>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</si>
  <si>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</si>
  <si>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</si>
  <si>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</si>
  <si>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</si>
  <si>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</si>
  <si>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</si>
  <si>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</si>
  <si>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</si>
  <si>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</si>
  <si>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</si>
  <si>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</si>
  <si>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</si>
  <si>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</si>
  <si>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</si>
  <si>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</si>
  <si>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</si>
  <si>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</si>
  <si>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</si>
  <si>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</si>
  <si>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</si>
  <si>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</si>
  <si>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</si>
  <si>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</si>
  <si>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</si>
  <si>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</si>
  <si>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</si>
  <si>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</si>
  <si>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</si>
  <si>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</si>
  <si>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</si>
  <si>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</si>
  <si>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</si>
  <si>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</si>
  <si>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</si>
  <si>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</si>
  <si>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</si>
  <si>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</si>
  <si>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</si>
  <si>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</si>
  <si>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</si>
  <si>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</si>
  <si>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</si>
  <si>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</si>
  <si>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</si>
  <si>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</si>
  <si>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</si>
  <si>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</si>
  <si>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</si>
  <si>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</si>
  <si>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</si>
  <si>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</si>
  <si>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</si>
  <si>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</si>
  <si>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</si>
  <si>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</si>
  <si>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</si>
  <si>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</si>
  <si>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</si>
  <si>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</si>
  <si>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</si>
  <si>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</si>
  <si>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</si>
  <si>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</si>
  <si>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</si>
  <si>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</si>
  <si>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</si>
  <si>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</si>
  <si>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</si>
  <si>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</si>
  <si>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</si>
  <si>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</si>
  <si>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</si>
  <si>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</si>
  <si>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</si>
  <si>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</si>
  <si>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</si>
  <si>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</si>
  <si>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</si>
  <si>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</si>
  <si>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</si>
  <si>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</si>
  <si>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</si>
  <si>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</si>
  <si>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</si>
  <si>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</si>
  <si>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</si>
  <si>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</si>
  <si>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</si>
  <si>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</si>
  <si>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</si>
  <si>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</si>
  <si>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</si>
  <si>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</si>
  <si>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</si>
  <si>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</si>
  <si>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</si>
  <si>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</si>
  <si>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</si>
  <si>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</si>
  <si>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</si>
  <si>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</si>
  <si>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</si>
  <si>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</si>
  <si>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</si>
  <si>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</si>
  <si>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</si>
  <si>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</si>
  <si>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</si>
  <si>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</si>
  <si>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</si>
  <si>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</si>
  <si>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</si>
  <si>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</si>
  <si>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</si>
  <si>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</si>
  <si>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</si>
  <si>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</si>
  <si>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</si>
  <si>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</si>
  <si>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</si>
  <si>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</si>
  <si>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</si>
  <si>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</si>
  <si>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</si>
  <si>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</si>
  <si>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</si>
  <si>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</si>
  <si>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</si>
  <si>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</si>
  <si>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</si>
  <si>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</si>
  <si>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</si>
  <si>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</si>
  <si>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</si>
  <si>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</si>
  <si>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</si>
  <si>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</si>
  <si>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</si>
  <si>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</si>
  <si>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</si>
  <si>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</si>
  <si>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</si>
  <si>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</si>
  <si>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</si>
  <si>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</si>
  <si>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</si>
  <si>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</si>
  <si>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</si>
  <si>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</si>
  <si>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</si>
  <si>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</si>
  <si>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</si>
  <si>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</si>
  <si>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</si>
  <si>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</si>
  <si>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</si>
  <si>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</si>
  <si>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</si>
  <si>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</si>
  <si>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</si>
  <si>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</si>
  <si>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</si>
  <si>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</si>
  <si>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</si>
  <si>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</si>
  <si>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</si>
  <si>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</si>
  <si>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</si>
  <si>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</si>
  <si>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</si>
  <si>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</si>
  <si>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</si>
  <si>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</si>
  <si>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</si>
  <si>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</si>
  <si>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</si>
  <si>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</si>
  <si>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</si>
  <si>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</si>
  <si>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</si>
  <si>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</si>
  <si>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</si>
  <si>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</si>
  <si>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</si>
  <si>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</si>
  <si>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</si>
  <si>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</si>
  <si>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</si>
  <si>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</si>
  <si>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</si>
  <si>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</si>
  <si>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</si>
  <si>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</si>
  <si>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</si>
  <si>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</si>
  <si>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</si>
  <si>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</si>
  <si>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</si>
  <si>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</si>
  <si>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</si>
  <si>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</si>
  <si>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</si>
  <si>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</si>
  <si>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</si>
  <si>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</si>
  <si>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</si>
  <si>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</si>
  <si>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</si>
  <si>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</si>
  <si>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</si>
  <si>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</si>
  <si>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</si>
  <si>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</si>
  <si>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</si>
  <si>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</si>
  <si>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</si>
  <si>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</si>
  <si>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</si>
  <si>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</si>
  <si>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</si>
  <si>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</si>
  <si>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</si>
  <si>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</si>
  <si>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</si>
  <si>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</si>
  <si>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</si>
  <si>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</si>
  <si>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</si>
  <si>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</si>
  <si>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</si>
  <si>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</si>
  <si>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</si>
  <si>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</si>
  <si>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</si>
  <si>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</si>
  <si>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</si>
  <si>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</si>
  <si>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</si>
  <si>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</si>
  <si>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</si>
  <si>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</si>
  <si>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</si>
  <si>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</si>
  <si>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</si>
  <si>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</si>
  <si>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</si>
  <si>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</si>
  <si>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</si>
  <si>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</si>
  <si>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</si>
  <si>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</si>
  <si>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</si>
  <si>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</si>
  <si>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</si>
  <si>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</si>
  <si>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</si>
  <si>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</si>
  <si>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</si>
  <si>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</si>
  <si>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</si>
  <si>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</si>
  <si>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</si>
  <si>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</si>
  <si>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</si>
  <si>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</si>
  <si>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</si>
  <si>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</si>
  <si>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</si>
  <si>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</si>
  <si>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</si>
  <si>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</si>
  <si>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</si>
  <si>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</si>
  <si>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</si>
  <si>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</si>
  <si>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</si>
  <si>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</si>
  <si>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</si>
  <si>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</si>
  <si>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</si>
  <si>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</si>
  <si>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</si>
  <si>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</si>
  <si>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</si>
  <si>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</si>
  <si>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</si>
  <si>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</si>
  <si>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</si>
  <si>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</si>
  <si>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</si>
  <si>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</si>
  <si>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</si>
  <si>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</si>
  <si>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</si>
  <si>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</si>
  <si>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</si>
  <si>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</si>
  <si>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</si>
  <si>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</si>
  <si>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</si>
  <si>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</si>
  <si>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</si>
  <si>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</si>
  <si>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</si>
  <si>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</si>
  <si>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</si>
  <si>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</si>
  <si>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</si>
  <si>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</si>
  <si>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</si>
  <si>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</si>
  <si>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</si>
  <si>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</si>
  <si>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</si>
  <si>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</si>
  <si>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</si>
  <si>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</si>
  <si>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</si>
  <si>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</si>
  <si>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</si>
  <si>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</si>
  <si>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</si>
  <si>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</si>
  <si>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</si>
  <si>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</si>
  <si>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</si>
  <si>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</si>
  <si>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</si>
  <si>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</si>
  <si>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</si>
  <si>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</si>
  <si>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</si>
  <si>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</si>
  <si>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</si>
  <si>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</si>
  <si>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</si>
  <si>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</si>
  <si>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</si>
  <si>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</si>
  <si>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</si>
  <si>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</si>
  <si>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</si>
  <si>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</si>
  <si>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</si>
  <si>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</si>
  <si>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</si>
  <si>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</si>
  <si>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</si>
  <si>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</si>
  <si>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</si>
  <si>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</si>
  <si>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</si>
  <si>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</si>
  <si>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</si>
  <si>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</si>
  <si>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</si>
  <si>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</si>
  <si>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</si>
  <si>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</si>
  <si>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</si>
  <si>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</si>
  <si>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</si>
  <si>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</si>
  <si>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</si>
  <si>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</si>
  <si>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</si>
  <si>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</si>
  <si>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</si>
  <si>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</si>
  <si>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</si>
  <si>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</si>
  <si>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</si>
  <si>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</si>
  <si>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</si>
  <si>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</si>
  <si>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</si>
  <si>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</si>
  <si>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</si>
  <si>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</si>
  <si>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</si>
  <si>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</si>
  <si>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</si>
  <si>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</si>
  <si>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</si>
  <si>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</si>
  <si>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</si>
  <si>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</si>
  <si>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</si>
  <si>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</si>
  <si>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</si>
  <si>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</si>
  <si>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</si>
  <si>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</si>
  <si>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</si>
  <si>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</si>
  <si>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</si>
  <si>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</si>
  <si>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</si>
  <si>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</si>
  <si>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</si>
  <si>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</si>
  <si>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</si>
  <si>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</si>
  <si>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</si>
  <si>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</si>
  <si>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</si>
  <si>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</si>
  <si>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</si>
  <si>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</si>
  <si>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</si>
  <si>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</si>
  <si>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</si>
  <si>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</si>
  <si>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</si>
  <si>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</si>
  <si>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</si>
  <si>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</si>
  <si>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</si>
  <si>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</si>
  <si>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</si>
  <si>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</si>
  <si>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X</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</si>
  <si>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</si>
  <si>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</si>
  <si>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</si>
  <si>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</si>
  <si>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</si>
  <si>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</si>
  <si>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</si>
  <si>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</si>
  <si>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</si>
  <si>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</si>
  <si>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</si>
  <si>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</si>
  <si>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</si>
  <si>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</si>
  <si>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</si>
  <si>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</si>
  <si>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</si>
  <si>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</si>
  <si>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</si>
  <si>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</si>
  <si>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</si>
  <si>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</si>
  <si>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</si>
  <si>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</si>
  <si>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</si>
  <si>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</si>
  <si>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</si>
  <si>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</si>
  <si>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</si>
  <si>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</si>
  <si>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</si>
  <si>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</si>
  <si>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</si>
  <si>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</si>
  <si>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</si>
  <si>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</si>
  <si>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</si>
  <si>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</si>
  <si>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</si>
  <si>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</si>
  <si>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</si>
  <si>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</si>
  <si>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</si>
  <si>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</si>
  <si>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</si>
  <si>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</si>
  <si>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</si>
  <si>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</si>
  <si>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</si>
  <si>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</si>
  <si>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</si>
  <si>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</si>
  <si>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</si>
  <si>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</si>
  <si>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</si>
  <si>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</si>
  <si>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</si>
  <si>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</si>
  <si>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</si>
  <si>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</si>
  <si>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</si>
  <si>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</si>
  <si>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</si>
  <si>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</si>
  <si>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</si>
  <si>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</si>
  <si>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</si>
  <si>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</si>
  <si>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</si>
  <si>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</si>
  <si>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</si>
  <si>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</si>
  <si>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</si>
  <si>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</si>
  <si>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</si>
  <si>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</si>
  <si>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</si>
  <si>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</si>
  <si>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</si>
  <si>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</si>
  <si>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</si>
  <si>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</si>
  <si>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Edkey, Inc.</t>
  </si>
  <si>
    <t>American Heritage Academy</t>
  </si>
  <si>
    <t>Yavapia</t>
  </si>
  <si>
    <t>138754000</t>
  </si>
  <si>
    <t>Paul K. Kremer</t>
  </si>
  <si>
    <t>pkremer@edkey.org</t>
  </si>
  <si>
    <t>Patric R. Greer</t>
  </si>
  <si>
    <t>Mark</t>
  </si>
  <si>
    <t>Plitzuweit</t>
  </si>
  <si>
    <t>mplitzuweit@edkey.org</t>
  </si>
  <si>
    <t>Marla</t>
  </si>
  <si>
    <t>Ramos</t>
  </si>
  <si>
    <t>mramos@edkey.org</t>
  </si>
  <si>
    <t>Patric</t>
  </si>
  <si>
    <t>Greer</t>
  </si>
  <si>
    <t>pgreer@edkey.org</t>
  </si>
  <si>
    <t>Jeannie</t>
  </si>
  <si>
    <t>White</t>
  </si>
  <si>
    <t>jwhite@edkey.org</t>
  </si>
  <si>
    <t>480-461-3200</t>
  </si>
  <si>
    <t>Keri</t>
  </si>
  <si>
    <t>Gregeory</t>
  </si>
  <si>
    <t>kgregory@edkey.org</t>
  </si>
  <si>
    <t>Kim</t>
  </si>
  <si>
    <t>Martin</t>
  </si>
  <si>
    <t>kmartin@edkey.org</t>
  </si>
  <si>
    <t>www.sequoiaschools.org</t>
  </si>
  <si>
    <t>Mia</t>
  </si>
  <si>
    <t>Damiani</t>
  </si>
  <si>
    <t>mdamiani@edkey.org</t>
  </si>
  <si>
    <t>Amber</t>
  </si>
  <si>
    <t>Allen</t>
  </si>
  <si>
    <t>aallen@edkey.org</t>
  </si>
  <si>
    <t>Damon</t>
  </si>
  <si>
    <t>Cooper</t>
  </si>
  <si>
    <t>dcooper@edkey.org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</si>
</sst>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
      <left style="medium"/>
      <right style="medium"/>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10">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8"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39"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7"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39" xfId="58" applyNumberFormat="1" applyFont="1" applyBorder="1" applyAlignment="1">
      <alignment horizontal="center"/>
      <protection/>
    </xf>
    <xf numFmtId="0" fontId="1" fillId="0" borderId="30" xfId="58" applyFont="1" applyBorder="1" applyAlignment="1">
      <alignment horizontal="right"/>
      <protection/>
    </xf>
    <xf numFmtId="0" fontId="1" fillId="0" borderId="40"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7"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49" fontId="0" fillId="0" borderId="12"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18" fillId="0" borderId="14" xfId="53" applyFont="1" applyBorder="1" applyAlignment="1" applyProtection="1">
      <alignment/>
      <protection locked="0"/>
    </xf>
    <xf numFmtId="0" fontId="0" fillId="0" borderId="14" xfId="0"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locked="0"/>
    </xf>
    <xf numFmtId="38" fontId="0" fillId="0" borderId="23" xfId="0" applyNumberFormat="1" applyFont="1" applyFill="1" applyBorder="1" applyAlignment="1">
      <alignment/>
    </xf>
    <xf numFmtId="38" fontId="0" fillId="0" borderId="13"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67" fillId="0" borderId="14" xfId="0" applyNumberFormat="1" applyFont="1" applyFill="1" applyBorder="1" applyAlignment="1">
      <alignment/>
    </xf>
    <xf numFmtId="3" fontId="0" fillId="0" borderId="12" xfId="0" applyNumberFormat="1" applyFont="1" applyFill="1" applyBorder="1" applyAlignment="1" applyProtection="1" quotePrefix="1">
      <alignment/>
      <protection locked="0"/>
    </xf>
    <xf numFmtId="166" fontId="0" fillId="0" borderId="24" xfId="0" applyNumberFormat="1" applyFill="1" applyBorder="1" applyAlignment="1">
      <alignment horizontal="right" vertical="top"/>
    </xf>
    <xf numFmtId="166" fontId="0" fillId="0" borderId="24" xfId="0" applyNumberFormat="1" applyFont="1" applyFill="1" applyBorder="1" applyAlignment="1">
      <alignment horizontal="right" vertical="top"/>
    </xf>
    <xf numFmtId="0" fontId="0" fillId="0" borderId="14" xfId="0" applyFont="1" applyFill="1" applyBorder="1" applyAlignment="1" applyProtection="1">
      <alignment/>
      <protection locked="0"/>
    </xf>
    <xf numFmtId="0" fontId="20" fillId="0" borderId="14" xfId="53" applyFont="1" applyFill="1" applyBorder="1" applyAlignment="1" applyProtection="1">
      <alignment/>
      <protection locked="0"/>
    </xf>
    <xf numFmtId="197" fontId="0" fillId="0" borderId="14" xfId="0" applyNumberFormat="1" applyFont="1" applyFill="1" applyBorder="1" applyAlignment="1" applyProtection="1">
      <alignment/>
      <protection locked="0"/>
    </xf>
    <xf numFmtId="38" fontId="0" fillId="0" borderId="13" xfId="0" applyNumberFormat="1" applyFont="1" applyFill="1" applyBorder="1" applyAlignment="1">
      <alignment/>
    </xf>
    <xf numFmtId="38" fontId="0" fillId="0" borderId="14" xfId="0" applyNumberFormat="1" applyFont="1" applyFill="1" applyBorder="1" applyAlignment="1">
      <alignment/>
    </xf>
    <xf numFmtId="38" fontId="0" fillId="0" borderId="14" xfId="0" applyNumberFormat="1" applyFill="1" applyBorder="1" applyAlignment="1" applyProtection="1">
      <alignment vertical="center"/>
      <protection locked="0"/>
    </xf>
    <xf numFmtId="38" fontId="0" fillId="0" borderId="14" xfId="0" applyNumberFormat="1" applyFill="1" applyBorder="1" applyAlignment="1">
      <alignment vertical="center"/>
    </xf>
    <xf numFmtId="38" fontId="0" fillId="0" borderId="14" xfId="0" applyNumberFormat="1" applyFill="1" applyBorder="1" applyAlignment="1" applyProtection="1">
      <alignment/>
      <protection locked="0"/>
    </xf>
    <xf numFmtId="38" fontId="67" fillId="0" borderId="13" xfId="0" applyNumberFormat="1" applyFont="1" applyFill="1" applyBorder="1" applyAlignment="1">
      <alignment/>
    </xf>
    <xf numFmtId="38" fontId="0" fillId="0" borderId="14" xfId="0" applyNumberFormat="1" applyFont="1" applyFill="1" applyBorder="1" applyAlignment="1">
      <alignment/>
    </xf>
    <xf numFmtId="166" fontId="0" fillId="0" borderId="14" xfId="0" applyNumberFormat="1" applyFont="1" applyFill="1" applyBorder="1" applyAlignment="1">
      <alignment horizontal="right"/>
    </xf>
    <xf numFmtId="0" fontId="0" fillId="0" borderId="41" xfId="0" applyFont="1" applyFill="1" applyBorder="1" applyAlignment="1" applyProtection="1">
      <alignment/>
      <protection locked="0"/>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4"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Fill="1"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12" xfId="0" applyFont="1" applyFill="1" applyBorder="1" applyAlignment="1" applyProtection="1">
      <alignment horizontal="left"/>
      <protection locked="0"/>
    </xf>
    <xf numFmtId="0" fontId="0" fillId="0" borderId="24" xfId="0" applyFont="1" applyFill="1" applyBorder="1" applyAlignment="1" applyProtection="1">
      <alignment horizontal="left"/>
      <protection locked="0"/>
    </xf>
    <xf numFmtId="0" fontId="0" fillId="0" borderId="24" xfId="0" applyFill="1" applyBorder="1" applyAlignment="1" applyProtection="1">
      <alignment horizontal="left"/>
      <protection locked="0"/>
    </xf>
    <xf numFmtId="0" fontId="1" fillId="0" borderId="0" xfId="0" applyFont="1" applyAlignment="1">
      <alignment horizontal="left"/>
    </xf>
    <xf numFmtId="0" fontId="0" fillId="0" borderId="12" xfId="0" applyFont="1" applyFill="1" applyBorder="1" applyAlignment="1" applyProtection="1">
      <alignment/>
      <protection locked="0"/>
    </xf>
    <xf numFmtId="168" fontId="0" fillId="0" borderId="12" xfId="0" applyNumberFormat="1" applyBorder="1" applyAlignment="1" applyProtection="1">
      <alignment horizontal="left"/>
      <protection locked="0"/>
    </xf>
    <xf numFmtId="0" fontId="83"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Fill="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12" xfId="0" applyBorder="1" applyAlignment="1" applyProtection="1">
      <alignment/>
      <protection locked="0"/>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59"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47950" y="314325"/>
          <a:ext cx="9239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400050</xdr:colOff>
      <xdr:row>3</xdr:row>
      <xdr:rowOff>342900</xdr:rowOff>
    </xdr:to>
    <xdr:sp>
      <xdr:nvSpPr>
        <xdr:cNvPr id="1" name="Rectangle 7">
          <a:hlinkClick r:id="rId1"/>
        </xdr:cNvPr>
        <xdr:cNvSpPr>
          <a:spLocks/>
        </xdr:cNvSpPr>
      </xdr:nvSpPr>
      <xdr:spPr>
        <a:xfrm>
          <a:off x="95250" y="419100"/>
          <a:ext cx="1524000"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3362325</xdr:colOff>
      <xdr:row>5</xdr:row>
      <xdr:rowOff>38100</xdr:rowOff>
    </xdr:to>
    <xdr:sp>
      <xdr:nvSpPr>
        <xdr:cNvPr id="1" name="Rectangle 5">
          <a:hlinkClick r:id="rId1"/>
        </xdr:cNvPr>
        <xdr:cNvSpPr>
          <a:spLocks/>
        </xdr:cNvSpPr>
      </xdr:nvSpPr>
      <xdr:spPr>
        <a:xfrm>
          <a:off x="3457575" y="400050"/>
          <a:ext cx="1104900"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1628775</xdr:colOff>
      <xdr:row>0</xdr:row>
      <xdr:rowOff>266700</xdr:rowOff>
    </xdr:to>
    <xdr:sp>
      <xdr:nvSpPr>
        <xdr:cNvPr id="1" name="Rectangle 2">
          <a:hlinkClick r:id="rId1"/>
        </xdr:cNvPr>
        <xdr:cNvSpPr>
          <a:spLocks/>
        </xdr:cNvSpPr>
      </xdr:nvSpPr>
      <xdr:spPr>
        <a:xfrm>
          <a:off x="0" y="76200"/>
          <a:ext cx="183832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3655853</v>
          </cell>
        </row>
      </sheetData>
      <sheetData sheetId="2">
        <row r="8">
          <cell r="L8">
            <v>1416281</v>
          </cell>
        </row>
        <row r="10">
          <cell r="L10">
            <v>0</v>
          </cell>
        </row>
        <row r="11">
          <cell r="L11">
            <v>0</v>
          </cell>
        </row>
        <row r="12">
          <cell r="L12">
            <v>292300</v>
          </cell>
        </row>
        <row r="13">
          <cell r="L13">
            <v>356618</v>
          </cell>
        </row>
        <row r="14">
          <cell r="L14">
            <v>66950</v>
          </cell>
        </row>
        <row r="15">
          <cell r="L15">
            <v>467616</v>
          </cell>
        </row>
        <row r="16">
          <cell r="L16">
            <v>0</v>
          </cell>
        </row>
        <row r="17">
          <cell r="L17">
            <v>157506</v>
          </cell>
        </row>
        <row r="18">
          <cell r="L18">
            <v>0</v>
          </cell>
        </row>
        <row r="19">
          <cell r="L19">
            <v>413684</v>
          </cell>
        </row>
        <row r="20">
          <cell r="L20">
            <v>0</v>
          </cell>
        </row>
        <row r="21">
          <cell r="L21">
            <v>0</v>
          </cell>
        </row>
        <row r="22">
          <cell r="L22">
            <v>2408</v>
          </cell>
        </row>
        <row r="25">
          <cell r="L25">
            <v>97390</v>
          </cell>
        </row>
        <row r="27">
          <cell r="L27">
            <v>0</v>
          </cell>
        </row>
        <row r="28">
          <cell r="L28">
            <v>0</v>
          </cell>
        </row>
        <row r="29">
          <cell r="L29">
            <v>40027</v>
          </cell>
        </row>
        <row r="30">
          <cell r="L30">
            <v>0</v>
          </cell>
        </row>
        <row r="31">
          <cell r="L31">
            <v>0</v>
          </cell>
        </row>
        <row r="32">
          <cell r="L32">
            <v>0</v>
          </cell>
        </row>
        <row r="33">
          <cell r="L33">
            <v>0</v>
          </cell>
        </row>
        <row r="34">
          <cell r="L34">
            <v>0</v>
          </cell>
        </row>
        <row r="35">
          <cell r="L35">
            <v>0</v>
          </cell>
        </row>
        <row r="36">
          <cell r="L36">
            <v>0</v>
          </cell>
        </row>
        <row r="39">
          <cell r="L39">
            <v>145424</v>
          </cell>
        </row>
        <row r="40">
          <cell r="L40">
            <v>0</v>
          </cell>
        </row>
        <row r="41">
          <cell r="L41">
            <v>0</v>
          </cell>
        </row>
        <row r="42">
          <cell r="L42">
            <v>18139</v>
          </cell>
        </row>
        <row r="44">
          <cell r="L44">
            <v>189880</v>
          </cell>
        </row>
        <row r="45">
          <cell r="L45">
            <v>25287</v>
          </cell>
        </row>
        <row r="46">
          <cell r="L46">
            <v>0</v>
          </cell>
        </row>
        <row r="47">
          <cell r="L47">
            <v>0</v>
          </cell>
        </row>
        <row r="48">
          <cell r="L48">
            <v>219548</v>
          </cell>
        </row>
      </sheetData>
      <sheetData sheetId="3">
        <row r="5">
          <cell r="E5">
            <v>129141</v>
          </cell>
          <cell r="N5">
            <v>137417</v>
          </cell>
        </row>
        <row r="6">
          <cell r="E6">
            <v>13110</v>
          </cell>
        </row>
        <row r="10">
          <cell r="E10">
            <v>7167</v>
          </cell>
        </row>
        <row r="12">
          <cell r="E12">
            <v>62566</v>
          </cell>
        </row>
        <row r="21">
          <cell r="E21">
            <v>7564</v>
          </cell>
          <cell r="N21">
            <v>25287</v>
          </cell>
        </row>
        <row r="43">
          <cell r="E43">
            <v>10200</v>
          </cell>
        </row>
      </sheetData>
      <sheetData sheetId="4">
        <row r="9">
          <cell r="K9">
            <v>37283</v>
          </cell>
        </row>
        <row r="10">
          <cell r="K10">
            <v>0</v>
          </cell>
        </row>
        <row r="11">
          <cell r="K11">
            <v>0</v>
          </cell>
        </row>
        <row r="14">
          <cell r="K14">
            <v>0</v>
          </cell>
        </row>
        <row r="15">
          <cell r="K15">
            <v>0</v>
          </cell>
        </row>
        <row r="16">
          <cell r="K16">
            <v>0</v>
          </cell>
        </row>
        <row r="19">
          <cell r="K19">
            <v>0</v>
          </cell>
        </row>
        <row r="20">
          <cell r="K20">
            <v>0</v>
          </cell>
        </row>
        <row r="21">
          <cell r="K21">
            <v>0</v>
          </cell>
        </row>
        <row r="26">
          <cell r="K26">
            <v>78030</v>
          </cell>
        </row>
        <row r="27">
          <cell r="K27">
            <v>0</v>
          </cell>
        </row>
        <row r="28">
          <cell r="K28">
            <v>0</v>
          </cell>
        </row>
        <row r="31">
          <cell r="K31">
            <v>0</v>
          </cell>
        </row>
        <row r="32">
          <cell r="K32">
            <v>0</v>
          </cell>
        </row>
        <row r="33">
          <cell r="K33">
            <v>0</v>
          </cell>
        </row>
        <row r="36">
          <cell r="K36">
            <v>0</v>
          </cell>
        </row>
        <row r="37">
          <cell r="K37">
            <v>0</v>
          </cell>
        </row>
        <row r="38">
          <cell r="K38">
            <v>0</v>
          </cell>
        </row>
        <row r="43">
          <cell r="K43">
            <v>74567</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G9">
            <v>0</v>
          </cell>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damiani@edkey.org" TargetMode="External" /><Relationship Id="rId2" Type="http://schemas.openxmlformats.org/officeDocument/2006/relationships/hyperlink" Target="mailto:aallen@edkey.org" TargetMode="External" /><Relationship Id="rId3" Type="http://schemas.openxmlformats.org/officeDocument/2006/relationships/hyperlink" Target="mailto:dcooper@edkey.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workbookViewId="0" topLeftCell="A16">
      <selection activeCell="R33" sqref="R33"/>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70" t="s">
        <v>0</v>
      </c>
      <c r="B1" s="570"/>
      <c r="C1" s="570"/>
      <c r="D1" s="560" t="s">
        <v>536</v>
      </c>
      <c r="E1" s="561"/>
      <c r="F1" s="561"/>
      <c r="G1" s="561"/>
      <c r="H1" s="561"/>
      <c r="I1" s="561"/>
      <c r="L1" s="32" t="s">
        <v>1</v>
      </c>
      <c r="M1" s="565" t="s">
        <v>538</v>
      </c>
      <c r="N1" s="566"/>
      <c r="O1" s="563" t="s">
        <v>89</v>
      </c>
      <c r="P1" s="563"/>
      <c r="Q1" s="563"/>
      <c r="R1" s="519" t="s">
        <v>539</v>
      </c>
    </row>
    <row r="2" spans="4:18" ht="12.75" customHeight="1">
      <c r="D2" s="552" t="s">
        <v>87</v>
      </c>
      <c r="E2" s="552"/>
      <c r="F2" s="552"/>
      <c r="G2" s="552"/>
      <c r="H2" s="552"/>
      <c r="I2" s="552"/>
      <c r="M2" s="29"/>
      <c r="Q2" s="29"/>
      <c r="R2" s="30"/>
    </row>
    <row r="3" spans="4:18" ht="12.75" customHeight="1">
      <c r="D3" s="557" t="s">
        <v>537</v>
      </c>
      <c r="E3" s="557"/>
      <c r="F3" s="557"/>
      <c r="G3" s="557"/>
      <c r="H3" s="557"/>
      <c r="I3" s="557"/>
      <c r="M3" s="29"/>
      <c r="Q3" s="29"/>
      <c r="R3" s="30"/>
    </row>
    <row r="4" spans="4:18" ht="12.75" customHeight="1">
      <c r="D4" s="552" t="s">
        <v>88</v>
      </c>
      <c r="E4" s="552"/>
      <c r="F4" s="552"/>
      <c r="G4" s="552"/>
      <c r="H4" s="552"/>
      <c r="I4" s="552"/>
      <c r="L4" s="573" t="str">
        <f>IF(OR('Charter Contact Info'!G7="",'Charter Contact Info'!G8="",'Charter Contact Info'!G10="",'Charter Contact Info'!G11="",'Charter Contact Info'!G12="",'Charter Contact Info'!E13="",'Charter Contact Info'!E14="",'Charter Contact Info'!E15=""),"Please ensure Charter Contact Info tab is complete","")</f>
        <v>Please ensure Charter Contact Info tab is complete</v>
      </c>
      <c r="M4" s="573"/>
      <c r="N4" s="573"/>
      <c r="O4" s="573"/>
      <c r="P4" s="573"/>
      <c r="Q4" s="573"/>
      <c r="R4" s="573"/>
    </row>
    <row r="5" spans="12:18" ht="12.75" customHeight="1">
      <c r="L5" s="573">
        <f>IF('Charter Contact Info'!C24="","Please enter a SIS Vendor on the Charter Contact Info Tab","")</f>
      </c>
      <c r="M5" s="573"/>
      <c r="N5" s="573"/>
      <c r="O5" s="573"/>
      <c r="P5" s="573"/>
      <c r="Q5" s="573"/>
      <c r="R5" s="573"/>
    </row>
    <row r="6" spans="1:18" ht="18" customHeight="1">
      <c r="A6" s="29"/>
      <c r="B6" s="579" t="s">
        <v>455</v>
      </c>
      <c r="C6" s="579"/>
      <c r="D6" s="579"/>
      <c r="E6" s="579"/>
      <c r="F6" s="579"/>
      <c r="G6" s="579"/>
      <c r="H6" s="579"/>
      <c r="I6" s="579"/>
      <c r="J6" s="33"/>
      <c r="K6" s="35" t="s">
        <v>43</v>
      </c>
      <c r="L6" s="590" t="s">
        <v>486</v>
      </c>
      <c r="M6" s="590"/>
      <c r="N6" s="590"/>
      <c r="O6" s="590"/>
      <c r="P6" s="590"/>
      <c r="Q6" s="36" t="s">
        <v>4</v>
      </c>
      <c r="R6" s="480">
        <f>'[1]Cover'!$R$13</f>
        <v>3655853</v>
      </c>
    </row>
    <row r="7" spans="1:18" ht="12.75">
      <c r="A7" s="29"/>
      <c r="B7" s="29"/>
      <c r="C7" s="29"/>
      <c r="D7" s="29"/>
      <c r="E7" s="29"/>
      <c r="F7" s="29"/>
      <c r="G7" s="29"/>
      <c r="J7" s="33"/>
      <c r="K7" s="35"/>
      <c r="L7" s="590"/>
      <c r="M7" s="591"/>
      <c r="N7" s="591"/>
      <c r="O7" s="591"/>
      <c r="P7" s="591"/>
      <c r="Q7" s="36"/>
      <c r="R7" s="255"/>
    </row>
    <row r="8" spans="1:18" ht="18" customHeight="1">
      <c r="A8" s="29"/>
      <c r="B8" s="579" t="s">
        <v>2</v>
      </c>
      <c r="C8" s="579"/>
      <c r="D8" s="579"/>
      <c r="E8" s="579"/>
      <c r="F8" s="579"/>
      <c r="G8" s="579"/>
      <c r="H8" s="579"/>
      <c r="I8" s="579"/>
      <c r="J8" s="34"/>
      <c r="K8" s="35" t="s">
        <v>44</v>
      </c>
      <c r="L8" s="546" t="s">
        <v>487</v>
      </c>
      <c r="M8" s="546"/>
      <c r="N8" s="546"/>
      <c r="O8" s="546"/>
      <c r="P8" s="546"/>
      <c r="Q8" s="546"/>
      <c r="R8" s="255"/>
    </row>
    <row r="9" spans="1:18" ht="12.75">
      <c r="A9" s="29"/>
      <c r="B9" s="29"/>
      <c r="C9" s="29"/>
      <c r="D9" s="29"/>
      <c r="E9" s="29"/>
      <c r="F9" s="29"/>
      <c r="G9" s="29"/>
      <c r="J9" s="33"/>
      <c r="L9" s="29"/>
      <c r="M9" s="29"/>
      <c r="N9" s="29"/>
      <c r="O9" t="s">
        <v>5</v>
      </c>
      <c r="P9" s="38" t="s">
        <v>6</v>
      </c>
      <c r="Q9" s="39" t="s">
        <v>4</v>
      </c>
      <c r="R9" s="37">
        <v>87365</v>
      </c>
    </row>
    <row r="10" spans="1:18" ht="12.75" customHeight="1">
      <c r="A10" s="29"/>
      <c r="B10" s="580" t="s">
        <v>3</v>
      </c>
      <c r="C10" s="580"/>
      <c r="D10" s="580"/>
      <c r="E10" s="580"/>
      <c r="F10" s="580"/>
      <c r="G10" s="580"/>
      <c r="H10" s="580"/>
      <c r="I10" s="580"/>
      <c r="J10" s="564"/>
      <c r="K10" s="35"/>
      <c r="L10" s="253"/>
      <c r="M10" s="253"/>
      <c r="N10" s="253"/>
      <c r="O10" t="s">
        <v>8</v>
      </c>
      <c r="P10" s="38" t="s">
        <v>9</v>
      </c>
      <c r="Q10" s="39" t="s">
        <v>4</v>
      </c>
      <c r="R10" s="523"/>
    </row>
    <row r="11" spans="1:18" ht="12.75" customHeight="1">
      <c r="A11" s="29"/>
      <c r="B11" s="580"/>
      <c r="C11" s="580"/>
      <c r="D11" s="580"/>
      <c r="E11" s="580"/>
      <c r="F11" s="580"/>
      <c r="G11" s="580"/>
      <c r="H11" s="580"/>
      <c r="I11" s="580"/>
      <c r="J11" s="564"/>
      <c r="O11" t="s">
        <v>7</v>
      </c>
      <c r="P11" s="38" t="s">
        <v>68</v>
      </c>
      <c r="Q11" s="39" t="s">
        <v>4</v>
      </c>
      <c r="R11" s="524">
        <v>3470700</v>
      </c>
    </row>
    <row r="12" spans="1:18" ht="12.75" customHeight="1">
      <c r="A12" s="29"/>
      <c r="B12" s="29"/>
      <c r="C12" s="29"/>
      <c r="D12" s="592" t="s">
        <v>81</v>
      </c>
      <c r="E12" s="592"/>
      <c r="F12" s="592"/>
      <c r="G12" s="592"/>
      <c r="H12" s="592"/>
      <c r="J12" s="33"/>
      <c r="O12" t="s">
        <v>10</v>
      </c>
      <c r="P12" s="38" t="s">
        <v>69</v>
      </c>
      <c r="Q12" s="39" t="s">
        <v>4</v>
      </c>
      <c r="R12" s="524">
        <v>255704</v>
      </c>
    </row>
    <row r="13" spans="2:18" ht="12.75" customHeight="1">
      <c r="B13" s="575" t="s">
        <v>79</v>
      </c>
      <c r="C13" s="575"/>
      <c r="D13" s="576"/>
      <c r="E13" s="576"/>
      <c r="F13" s="576"/>
      <c r="G13" s="576"/>
      <c r="H13" s="576"/>
      <c r="I13" s="575"/>
      <c r="J13" s="33"/>
      <c r="O13" t="s">
        <v>45</v>
      </c>
      <c r="Q13" s="39" t="s">
        <v>4</v>
      </c>
      <c r="R13" s="40">
        <f>SUM(R9:R12)</f>
        <v>3813769</v>
      </c>
    </row>
    <row r="14" spans="10:18" ht="12.75" customHeight="1">
      <c r="J14" s="33"/>
      <c r="P14" s="38"/>
      <c r="Q14" s="39"/>
      <c r="R14" s="256"/>
    </row>
    <row r="15" spans="10:18" ht="12.75" customHeight="1">
      <c r="J15" s="33"/>
      <c r="L15" s="577" t="s">
        <v>138</v>
      </c>
      <c r="M15" s="577"/>
      <c r="N15" s="577"/>
      <c r="O15" s="567" t="s">
        <v>540</v>
      </c>
      <c r="P15" s="567"/>
      <c r="Q15" s="567"/>
      <c r="R15" s="567"/>
    </row>
    <row r="16" spans="1:18" ht="12.75" customHeight="1">
      <c r="A16" s="30"/>
      <c r="B16" s="558" t="s">
        <v>80</v>
      </c>
      <c r="C16" s="558"/>
      <c r="D16" s="558"/>
      <c r="E16" s="558"/>
      <c r="F16" s="558"/>
      <c r="G16" s="558"/>
      <c r="H16" s="558"/>
      <c r="I16" s="558"/>
      <c r="J16" s="33"/>
      <c r="L16" s="12" t="s">
        <v>136</v>
      </c>
      <c r="M16" s="578">
        <v>4804613200</v>
      </c>
      <c r="N16" s="578"/>
      <c r="O16" s="39" t="s">
        <v>137</v>
      </c>
      <c r="P16" s="568" t="s">
        <v>541</v>
      </c>
      <c r="Q16" s="569"/>
      <c r="R16" s="569"/>
    </row>
    <row r="17" spans="10:18" ht="12.75" customHeight="1">
      <c r="J17" s="33"/>
      <c r="P17" s="38"/>
      <c r="Q17" s="39"/>
      <c r="R17" s="256"/>
    </row>
    <row r="18" spans="10:18" ht="12.75" customHeight="1">
      <c r="J18" s="33"/>
      <c r="L18" s="562" t="s">
        <v>488</v>
      </c>
      <c r="M18" s="562"/>
      <c r="N18" s="562"/>
      <c r="O18" s="562"/>
      <c r="P18" s="562"/>
      <c r="Q18" s="562"/>
      <c r="R18" s="562"/>
    </row>
    <row r="19" spans="2:18" ht="12.75" customHeight="1">
      <c r="B19" s="559" t="s">
        <v>493</v>
      </c>
      <c r="C19" s="559"/>
      <c r="D19" s="559"/>
      <c r="E19" s="559"/>
      <c r="F19" s="559"/>
      <c r="G19" s="559"/>
      <c r="H19" s="559"/>
      <c r="I19" s="559"/>
      <c r="J19" s="33"/>
      <c r="L19" s="562" t="s">
        <v>330</v>
      </c>
      <c r="M19" s="562"/>
      <c r="N19" s="562"/>
      <c r="O19" s="562"/>
      <c r="P19" s="572">
        <v>43644</v>
      </c>
      <c r="Q19" s="572"/>
      <c r="R19" s="572"/>
    </row>
    <row r="20" spans="3:18" ht="12.75" customHeight="1">
      <c r="C20" s="554" t="s">
        <v>81</v>
      </c>
      <c r="D20" s="554"/>
      <c r="F20" s="572">
        <v>43644</v>
      </c>
      <c r="G20" s="572"/>
      <c r="H20" s="572"/>
      <c r="I20" s="267">
        <f>IF(AND(ISNUMBER(SEARCH("Proposed*",D12)),F20=""),"Please enter a Proposed Date","")</f>
      </c>
      <c r="J20" s="33"/>
      <c r="L20" s="548" t="s">
        <v>466</v>
      </c>
      <c r="M20" s="548"/>
      <c r="N20" s="548"/>
      <c r="O20" s="548"/>
      <c r="P20" s="574" t="s">
        <v>328</v>
      </c>
      <c r="Q20" s="574"/>
      <c r="R20" s="574"/>
    </row>
    <row r="21" spans="3:18" ht="12.75" customHeight="1">
      <c r="C21" s="554" t="s">
        <v>82</v>
      </c>
      <c r="D21" s="554"/>
      <c r="F21" s="553"/>
      <c r="G21" s="553"/>
      <c r="H21" s="553"/>
      <c r="I21" s="266">
        <f>IF(AND(ISNUMBER(SEARCH("Adopted*",D12)),F21=""),"Please enter an Adopted Date","")</f>
      </c>
      <c r="J21" s="33"/>
      <c r="L21" s="593"/>
      <c r="M21" s="594"/>
      <c r="N21" s="594"/>
      <c r="O21" s="594"/>
      <c r="P21" s="594"/>
      <c r="Q21" s="594"/>
      <c r="R21" s="594"/>
    </row>
    <row r="22" spans="1:18" ht="12.75" customHeight="1">
      <c r="A22" s="30"/>
      <c r="C22" s="554" t="s">
        <v>83</v>
      </c>
      <c r="D22" s="554"/>
      <c r="F22" s="553"/>
      <c r="G22" s="553"/>
      <c r="H22" s="553"/>
      <c r="I22" s="251">
        <f>IF(AND(ISNUMBER(SEARCH("Revised*",D12)),F22=""),"Please enter a Revised Date","")</f>
      </c>
      <c r="J22" s="41"/>
      <c r="L22" s="549"/>
      <c r="M22" s="549"/>
      <c r="N22" s="549"/>
      <c r="O22" s="245"/>
      <c r="P22" s="549"/>
      <c r="Q22" s="549"/>
      <c r="R22" s="549"/>
    </row>
    <row r="23" spans="6:22" ht="12.75" customHeight="1">
      <c r="F23" s="552" t="s">
        <v>84</v>
      </c>
      <c r="G23" s="552"/>
      <c r="H23" s="552"/>
      <c r="J23" s="33"/>
      <c r="L23" s="550" t="s">
        <v>245</v>
      </c>
      <c r="M23" s="550"/>
      <c r="N23" s="550"/>
      <c r="O23" s="45"/>
      <c r="P23" s="550" t="s">
        <v>245</v>
      </c>
      <c r="Q23" s="550"/>
      <c r="R23" s="550"/>
      <c r="S23" s="244"/>
      <c r="T23" s="244"/>
      <c r="U23" s="244"/>
      <c r="V23" s="84"/>
    </row>
    <row r="24" spans="2:18" ht="12.75" customHeight="1">
      <c r="B24" s="42"/>
      <c r="E24" s="43"/>
      <c r="J24" s="33"/>
      <c r="L24" s="12"/>
      <c r="M24" s="12"/>
      <c r="N24" s="12"/>
      <c r="O24" s="12"/>
      <c r="P24" s="12"/>
      <c r="Q24" s="12"/>
      <c r="R24" s="12"/>
    </row>
    <row r="25" spans="1:21" ht="12.75" customHeight="1">
      <c r="A25" s="555"/>
      <c r="B25" s="555"/>
      <c r="C25" s="555"/>
      <c r="D25" s="555"/>
      <c r="E25" s="555"/>
      <c r="F25" s="555"/>
      <c r="G25" s="555"/>
      <c r="H25" s="555"/>
      <c r="I25" s="555"/>
      <c r="J25" s="556"/>
      <c r="L25" s="548">
        <f>IF(OR(L26="",P26=""),"Please enter typed school official names","")</f>
      </c>
      <c r="M25" s="548"/>
      <c r="N25" s="548"/>
      <c r="O25" s="548"/>
      <c r="P25" s="548"/>
      <c r="Q25" s="548"/>
      <c r="R25" s="548"/>
      <c r="U25" s="261"/>
    </row>
    <row r="26" spans="1:18" ht="12.75" customHeight="1">
      <c r="A26" s="555"/>
      <c r="B26" s="555"/>
      <c r="C26" s="555"/>
      <c r="D26" s="555"/>
      <c r="E26" s="555"/>
      <c r="F26" s="555"/>
      <c r="G26" s="555"/>
      <c r="H26" s="555"/>
      <c r="I26" s="555"/>
      <c r="J26" s="556"/>
      <c r="L26" s="571" t="s">
        <v>540</v>
      </c>
      <c r="M26" s="557"/>
      <c r="N26" s="557"/>
      <c r="O26" s="45"/>
      <c r="P26" s="571" t="s">
        <v>542</v>
      </c>
      <c r="Q26" s="557"/>
      <c r="R26" s="557"/>
    </row>
    <row r="27" spans="1:18" ht="12.75" customHeight="1">
      <c r="A27" s="555"/>
      <c r="B27" s="555"/>
      <c r="C27" s="555"/>
      <c r="D27" s="555"/>
      <c r="E27" s="555"/>
      <c r="F27" s="555"/>
      <c r="G27" s="555"/>
      <c r="H27" s="555"/>
      <c r="I27" s="555"/>
      <c r="J27" s="556"/>
      <c r="L27" s="550" t="s">
        <v>247</v>
      </c>
      <c r="M27" s="552"/>
      <c r="N27" s="552"/>
      <c r="O27" s="45"/>
      <c r="P27" s="550" t="s">
        <v>247</v>
      </c>
      <c r="Q27" s="552"/>
      <c r="R27" s="552"/>
    </row>
    <row r="28" spans="2:10" ht="12.75" customHeight="1">
      <c r="B28" s="30"/>
      <c r="C28" s="42"/>
      <c r="D28" s="42"/>
      <c r="F28" s="30"/>
      <c r="G28" s="44"/>
      <c r="H28" s="29"/>
      <c r="I28" s="29"/>
      <c r="J28" s="34"/>
    </row>
    <row r="29" spans="1:19" ht="12.75" customHeight="1">
      <c r="A29" s="549"/>
      <c r="B29" s="549"/>
      <c r="C29" s="549"/>
      <c r="D29" s="549"/>
      <c r="E29" s="549"/>
      <c r="F29" s="30"/>
      <c r="G29" s="551"/>
      <c r="H29" s="551"/>
      <c r="I29" s="551"/>
      <c r="J29" s="34"/>
      <c r="L29" s="546" t="s">
        <v>489</v>
      </c>
      <c r="M29" s="546"/>
      <c r="N29" s="547"/>
      <c r="O29" s="547"/>
      <c r="P29" s="547"/>
      <c r="Q29" s="547"/>
      <c r="R29" s="547"/>
      <c r="S29" s="546"/>
    </row>
    <row r="30" spans="8:19" ht="12.75" customHeight="1" thickBot="1">
      <c r="H30" s="29"/>
      <c r="I30" s="29"/>
      <c r="J30" s="34"/>
      <c r="L30" s="548">
        <f>IF((BudgetYearSalary)=0,"Average teacher salary information is not complete",IF(AND((PriorYearSalary)=0,(L31)=""),"Average teacher salary information is not complete",""))</f>
      </c>
      <c r="M30" s="548"/>
      <c r="N30" s="548"/>
      <c r="O30" s="548"/>
      <c r="P30" s="548"/>
      <c r="Q30" s="548"/>
      <c r="R30" s="548"/>
      <c r="S30" s="479"/>
    </row>
    <row r="31" spans="1:18" ht="12.75" customHeight="1" thickBot="1">
      <c r="A31" s="549"/>
      <c r="B31" s="549"/>
      <c r="C31" s="549"/>
      <c r="D31" s="549"/>
      <c r="E31" s="549"/>
      <c r="F31" s="30"/>
      <c r="G31" s="551"/>
      <c r="H31" s="551"/>
      <c r="I31" s="551"/>
      <c r="J31" s="33"/>
      <c r="L31" s="481"/>
      <c r="M31" s="246" t="s">
        <v>454</v>
      </c>
      <c r="N31" s="251"/>
      <c r="O31" s="251"/>
      <c r="P31" s="251"/>
      <c r="Q31" s="251"/>
      <c r="R31" s="251"/>
    </row>
    <row r="32" spans="10:19" ht="12.75" customHeight="1">
      <c r="J32" s="33"/>
      <c r="L32" s="246" t="s">
        <v>490</v>
      </c>
      <c r="M32" s="450"/>
      <c r="N32" s="450"/>
      <c r="O32" s="507"/>
      <c r="P32" s="507"/>
      <c r="Q32" s="39" t="s">
        <v>4</v>
      </c>
      <c r="R32" s="531">
        <v>41316</v>
      </c>
      <c r="S32" s="268">
        <f>IF(OR(BudgetYearSalary=0,PriorYearSalary=0),1/error,"")</f>
      </c>
    </row>
    <row r="33" spans="1:18" ht="12.75" customHeight="1">
      <c r="A33" s="549"/>
      <c r="B33" s="549"/>
      <c r="C33" s="549"/>
      <c r="D33" s="549"/>
      <c r="E33" s="549"/>
      <c r="F33" s="30"/>
      <c r="G33" s="551"/>
      <c r="H33" s="551"/>
      <c r="I33" s="551"/>
      <c r="J33" s="33"/>
      <c r="L33" s="246" t="s">
        <v>491</v>
      </c>
      <c r="M33" s="84"/>
      <c r="N33" s="84"/>
      <c r="O33" s="507"/>
      <c r="P33" s="507"/>
      <c r="Q33" s="39" t="s">
        <v>4</v>
      </c>
      <c r="R33" s="524">
        <v>39877</v>
      </c>
    </row>
    <row r="34" spans="10:18" ht="12.75" customHeight="1">
      <c r="J34" s="33"/>
      <c r="L34" s="246" t="s">
        <v>492</v>
      </c>
      <c r="M34" s="84"/>
      <c r="N34" s="84"/>
      <c r="O34" s="507"/>
      <c r="P34" s="507"/>
      <c r="Q34" s="39" t="s">
        <v>4</v>
      </c>
      <c r="R34" s="524">
        <f>R32-R33</f>
        <v>1439</v>
      </c>
    </row>
    <row r="35" spans="1:18" ht="12.75" customHeight="1">
      <c r="A35" s="549"/>
      <c r="B35" s="549"/>
      <c r="C35" s="549"/>
      <c r="D35" s="549"/>
      <c r="E35" s="549"/>
      <c r="F35" s="30"/>
      <c r="G35" s="551"/>
      <c r="H35" s="551"/>
      <c r="I35" s="551"/>
      <c r="J35" s="33"/>
      <c r="L35" s="246" t="s">
        <v>281</v>
      </c>
      <c r="Q35" s="39"/>
      <c r="R35" s="532">
        <f>IF(PriorYearSalary&gt;0,R34/R33,0)</f>
        <v>0.036</v>
      </c>
    </row>
    <row r="36" spans="4:18" ht="12.75" customHeight="1">
      <c r="D36" s="29"/>
      <c r="E36" s="29"/>
      <c r="F36" s="29"/>
      <c r="G36" s="29"/>
      <c r="J36" s="33"/>
      <c r="L36" s="581" t="s">
        <v>458</v>
      </c>
      <c r="M36" s="582"/>
      <c r="N36" s="582"/>
      <c r="O36" s="582"/>
      <c r="P36" s="582"/>
      <c r="Q36" s="582"/>
      <c r="R36" s="583"/>
    </row>
    <row r="37" spans="1:18" ht="12.75" customHeight="1">
      <c r="A37" s="549"/>
      <c r="B37" s="549"/>
      <c r="C37" s="549"/>
      <c r="D37" s="549"/>
      <c r="E37" s="549"/>
      <c r="F37" s="30"/>
      <c r="G37" s="551"/>
      <c r="H37" s="551"/>
      <c r="I37" s="551"/>
      <c r="K37" s="254"/>
      <c r="L37" s="584"/>
      <c r="M37" s="585"/>
      <c r="N37" s="585"/>
      <c r="O37" s="585"/>
      <c r="P37" s="585"/>
      <c r="Q37" s="585"/>
      <c r="R37" s="586"/>
    </row>
    <row r="38" spans="4:19" ht="12.75" customHeight="1">
      <c r="D38" s="29"/>
      <c r="E38" s="29"/>
      <c r="F38" s="29"/>
      <c r="G38" s="29"/>
      <c r="K38" s="142"/>
      <c r="L38" s="584"/>
      <c r="M38" s="585"/>
      <c r="N38" s="585"/>
      <c r="O38" s="585"/>
      <c r="P38" s="585"/>
      <c r="Q38" s="585"/>
      <c r="R38" s="586"/>
      <c r="S38" s="254"/>
    </row>
    <row r="39" spans="1:19" ht="12.75" customHeight="1">
      <c r="A39" s="549"/>
      <c r="B39" s="549"/>
      <c r="C39" s="549"/>
      <c r="D39" s="549"/>
      <c r="E39" s="549"/>
      <c r="F39" s="30"/>
      <c r="G39" s="551"/>
      <c r="H39" s="551"/>
      <c r="I39" s="551"/>
      <c r="K39" s="142"/>
      <c r="L39" s="584"/>
      <c r="M39" s="585"/>
      <c r="N39" s="585"/>
      <c r="O39" s="585"/>
      <c r="P39" s="585"/>
      <c r="Q39" s="585"/>
      <c r="R39" s="586"/>
      <c r="S39" s="254"/>
    </row>
    <row r="40" spans="4:19" ht="12.75" customHeight="1">
      <c r="D40" s="29"/>
      <c r="E40" s="29"/>
      <c r="F40" s="29"/>
      <c r="G40" s="29"/>
      <c r="K40" s="142"/>
      <c r="L40" s="587"/>
      <c r="M40" s="588"/>
      <c r="N40" s="588"/>
      <c r="O40" s="588"/>
      <c r="P40" s="588"/>
      <c r="Q40" s="588"/>
      <c r="R40" s="589"/>
      <c r="S40" s="254"/>
    </row>
    <row r="41" spans="1:19" ht="12.75" customHeight="1">
      <c r="A41" s="549"/>
      <c r="B41" s="549"/>
      <c r="C41" s="549"/>
      <c r="D41" s="549"/>
      <c r="E41" s="549"/>
      <c r="F41" s="30"/>
      <c r="G41" s="551"/>
      <c r="H41" s="551"/>
      <c r="I41" s="551"/>
      <c r="K41" s="254"/>
      <c r="L41" s="246" t="s">
        <v>467</v>
      </c>
      <c r="M41" s="508"/>
      <c r="N41" s="508"/>
      <c r="O41" s="508"/>
      <c r="P41" s="508"/>
      <c r="Q41" s="260" t="s">
        <v>4</v>
      </c>
      <c r="R41" s="250">
        <v>37823</v>
      </c>
      <c r="S41" s="494"/>
    </row>
    <row r="42" spans="1:19" ht="12.75" customHeight="1">
      <c r="A42" s="552" t="s">
        <v>85</v>
      </c>
      <c r="B42" s="552"/>
      <c r="C42" s="552"/>
      <c r="D42" s="552"/>
      <c r="E42" s="552"/>
      <c r="F42" s="30"/>
      <c r="G42" s="552" t="s">
        <v>42</v>
      </c>
      <c r="H42" s="552"/>
      <c r="I42" s="552"/>
      <c r="K42" s="254"/>
      <c r="L42" s="246" t="s">
        <v>468</v>
      </c>
      <c r="M42" s="508"/>
      <c r="N42" s="508"/>
      <c r="O42" s="508"/>
      <c r="P42" s="508"/>
      <c r="Q42" s="508"/>
      <c r="R42" s="533">
        <f>IF(PriorYearSalary&gt;0,((BudgetYearSalary-R41)/R41),0)</f>
        <v>0.092</v>
      </c>
      <c r="S42" s="494"/>
    </row>
  </sheetData>
  <sheetProtection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
      <selection activeCell="R33" sqref="R33"/>
    </sheetView>
  </sheetViews>
  <sheetFormatPr defaultColWidth="9.140625" defaultRowHeight="12.75"/>
  <cols>
    <col min="1" max="1" width="39.421875" style="295" customWidth="1"/>
    <col min="2" max="2" width="14.421875" style="295" customWidth="1"/>
    <col min="3" max="3" width="16.28125" style="295" customWidth="1"/>
    <col min="4" max="5" width="14.421875" style="295" customWidth="1"/>
    <col min="6" max="6" width="4.57421875" style="295" customWidth="1"/>
    <col min="7" max="7" width="15.8515625" style="295" customWidth="1"/>
    <col min="8" max="8" width="15.7109375" style="295" customWidth="1"/>
    <col min="9" max="9" width="15.28125" style="295" customWidth="1"/>
    <col min="10" max="10" width="13.7109375" style="295" customWidth="1"/>
    <col min="11" max="14" width="9.140625" style="295" customWidth="1"/>
    <col min="15" max="15" width="2.7109375" style="295" customWidth="1"/>
    <col min="16" max="16" width="10.421875" style="295" customWidth="1"/>
    <col min="17" max="16384" width="9.140625" style="295" customWidth="1"/>
  </cols>
  <sheetData>
    <row r="1" spans="1:10" ht="12.75">
      <c r="A1" s="313" t="s">
        <v>457</v>
      </c>
      <c r="B1" s="708" t="str">
        <f>Cover!D1</f>
        <v>Edkey, Inc.</v>
      </c>
      <c r="C1" s="708"/>
      <c r="D1" s="313" t="s">
        <v>331</v>
      </c>
      <c r="E1" s="708" t="str">
        <f>Cover!M1</f>
        <v>Yavapia</v>
      </c>
      <c r="F1" s="708"/>
      <c r="G1" s="708"/>
      <c r="H1" s="313" t="s">
        <v>190</v>
      </c>
      <c r="I1" s="709" t="str">
        <f>Cover!R1</f>
        <v>138754000</v>
      </c>
      <c r="J1" s="709"/>
    </row>
    <row r="2" spans="1:10" ht="12.75">
      <c r="A2" s="313"/>
      <c r="B2" s="367"/>
      <c r="C2" s="368"/>
      <c r="D2" s="313"/>
      <c r="E2" s="367"/>
      <c r="F2" s="368"/>
      <c r="G2" s="368"/>
      <c r="I2" s="313"/>
      <c r="J2" s="368"/>
    </row>
    <row r="3" spans="1:10" ht="12.75">
      <c r="A3" s="707" t="s">
        <v>419</v>
      </c>
      <c r="B3" s="707"/>
      <c r="C3" s="707"/>
      <c r="D3" s="707"/>
      <c r="E3" s="707"/>
      <c r="F3" s="707"/>
      <c r="G3" s="707"/>
      <c r="H3" s="707"/>
      <c r="I3" s="707"/>
      <c r="J3" s="707"/>
    </row>
    <row r="4" spans="1:10" ht="12.75">
      <c r="A4" s="707" t="s">
        <v>403</v>
      </c>
      <c r="B4" s="707"/>
      <c r="C4" s="707"/>
      <c r="D4" s="707"/>
      <c r="E4" s="707"/>
      <c r="F4" s="707"/>
      <c r="G4" s="707"/>
      <c r="H4" s="707"/>
      <c r="I4" s="707"/>
      <c r="J4" s="707"/>
    </row>
    <row r="5" spans="1:10" ht="12.75">
      <c r="A5" s="707" t="s">
        <v>420</v>
      </c>
      <c r="B5" s="707"/>
      <c r="C5" s="707"/>
      <c r="D5" s="707"/>
      <c r="E5" s="707"/>
      <c r="F5" s="707"/>
      <c r="G5" s="707"/>
      <c r="H5" s="707"/>
      <c r="I5" s="707"/>
      <c r="J5" s="707"/>
    </row>
    <row r="6" ht="12.75">
      <c r="J6" s="311" t="s">
        <v>482</v>
      </c>
    </row>
    <row r="8" spans="1:5" ht="12.75">
      <c r="A8" s="400" t="s">
        <v>366</v>
      </c>
      <c r="B8" s="401" t="s">
        <v>332</v>
      </c>
      <c r="C8" s="401" t="s">
        <v>333</v>
      </c>
      <c r="D8" s="402" t="s">
        <v>334</v>
      </c>
      <c r="E8" s="399" t="s">
        <v>202</v>
      </c>
    </row>
    <row r="9" spans="1:5" ht="12.75">
      <c r="A9" s="482" t="s">
        <v>428</v>
      </c>
      <c r="B9" s="369">
        <f>'Data Entry'!F17</f>
        <v>0</v>
      </c>
      <c r="C9" s="369">
        <f>'Data Entry'!I17</f>
        <v>368.295</v>
      </c>
      <c r="D9" s="369">
        <f>'Data Entry'!L17</f>
        <v>84.57</v>
      </c>
      <c r="E9" s="398">
        <f>SUM(B9:D9)</f>
        <v>452.865</v>
      </c>
    </row>
    <row r="12" ht="11.25" customHeight="1"/>
    <row r="13" spans="1:7" ht="42" customHeight="1">
      <c r="A13" s="378" t="s">
        <v>368</v>
      </c>
      <c r="C13" s="329" t="s">
        <v>367</v>
      </c>
      <c r="E13" s="371" t="s">
        <v>335</v>
      </c>
      <c r="G13" s="371" t="s">
        <v>369</v>
      </c>
    </row>
    <row r="14" spans="1:7" ht="12.75">
      <c r="A14" s="383" t="s">
        <v>332</v>
      </c>
      <c r="C14" s="369">
        <f>B9</f>
        <v>0</v>
      </c>
      <c r="D14" s="368" t="s">
        <v>342</v>
      </c>
      <c r="E14" s="372">
        <v>1.45</v>
      </c>
      <c r="F14" s="368" t="s">
        <v>340</v>
      </c>
      <c r="G14" s="369">
        <f>C14*E14</f>
        <v>0</v>
      </c>
    </row>
    <row r="15" spans="1:7" ht="12.75">
      <c r="A15" s="295" t="s">
        <v>333</v>
      </c>
      <c r="C15" s="369">
        <f>C9</f>
        <v>368.295</v>
      </c>
      <c r="D15" s="368" t="s">
        <v>342</v>
      </c>
      <c r="E15" s="372">
        <f>IF('Data Entry'!I20&gt;0,IF('Data Entry'!I20&lt;100,Calculations!L9,IF('Data Entry'!I20&lt;500,Calculations!L17,IF('Data Entry'!I20&lt;600,Calculations!L25,Calculations!L27))),0)</f>
        <v>1.318</v>
      </c>
      <c r="F15" s="368" t="s">
        <v>340</v>
      </c>
      <c r="G15" s="369">
        <f>C15*E15</f>
        <v>485.413</v>
      </c>
    </row>
    <row r="16" spans="1:7" ht="12.75">
      <c r="A16" s="387" t="s">
        <v>334</v>
      </c>
      <c r="C16" s="373">
        <f>D9</f>
        <v>84.57</v>
      </c>
      <c r="D16" s="368" t="s">
        <v>342</v>
      </c>
      <c r="E16" s="372">
        <f>IF('Data Entry'!L20&gt;0,IF('Data Entry'!L20&lt;100,Calculations!N9,IF('Data Entry'!L20&lt;500,Calculations!N17,IF('Data Entry'!L20&lt;600,Calculations!N25,Calculations!N27))),0)</f>
        <v>1.559</v>
      </c>
      <c r="F16" s="368" t="s">
        <v>340</v>
      </c>
      <c r="G16" s="373">
        <f>C16*E16</f>
        <v>131.845</v>
      </c>
    </row>
    <row r="17" spans="1:7" ht="12.75">
      <c r="A17" s="386" t="s">
        <v>370</v>
      </c>
      <c r="C17" s="374">
        <f>SUM(C14:C16)</f>
        <v>452.865</v>
      </c>
      <c r="G17" s="374">
        <f>SUM(G14:G16)</f>
        <v>617.258</v>
      </c>
    </row>
    <row r="18" ht="17.25" customHeight="1"/>
    <row r="19" ht="11.25" customHeight="1"/>
    <row r="21" spans="1:7" ht="42" customHeight="1">
      <c r="A21" s="375" t="s">
        <v>426</v>
      </c>
      <c r="C21" s="371" t="s">
        <v>433</v>
      </c>
      <c r="E21" s="371" t="s">
        <v>335</v>
      </c>
      <c r="G21" s="371" t="s">
        <v>435</v>
      </c>
    </row>
    <row r="22" spans="1:7" ht="12.75">
      <c r="A22" s="295" t="s">
        <v>350</v>
      </c>
      <c r="C22" s="376">
        <f>'Data Entry'!I38</f>
        <v>152.61</v>
      </c>
      <c r="D22" s="368" t="s">
        <v>342</v>
      </c>
      <c r="E22" s="372">
        <v>0.04</v>
      </c>
      <c r="F22" s="368" t="s">
        <v>340</v>
      </c>
      <c r="G22" s="376">
        <f>C22*E22</f>
        <v>6.104</v>
      </c>
    </row>
    <row r="23" spans="1:7" ht="12.75">
      <c r="A23" s="295" t="s">
        <v>351</v>
      </c>
      <c r="C23" s="376">
        <f>'Data Entry'!I39</f>
        <v>152.61</v>
      </c>
      <c r="D23" s="368" t="s">
        <v>342</v>
      </c>
      <c r="E23" s="372">
        <v>0.06</v>
      </c>
      <c r="F23" s="368" t="s">
        <v>340</v>
      </c>
      <c r="G23" s="376">
        <f aca="true" t="shared" si="0" ref="G23:G35">C23*E23</f>
        <v>9.157</v>
      </c>
    </row>
    <row r="24" spans="1:7" ht="12.75">
      <c r="A24" s="295" t="s">
        <v>371</v>
      </c>
      <c r="C24" s="376">
        <f>'Data Entry'!I40</f>
        <v>38</v>
      </c>
      <c r="D24" s="368" t="s">
        <v>342</v>
      </c>
      <c r="E24" s="372">
        <v>0.115</v>
      </c>
      <c r="F24" s="368" t="s">
        <v>340</v>
      </c>
      <c r="G24" s="376">
        <f t="shared" si="0"/>
        <v>4.37</v>
      </c>
    </row>
    <row r="25" spans="1:7" ht="12.75">
      <c r="A25" s="295" t="s">
        <v>372</v>
      </c>
      <c r="C25" s="376">
        <f>'Data Entry'!I41</f>
        <v>0</v>
      </c>
      <c r="D25" s="368" t="s">
        <v>342</v>
      </c>
      <c r="E25" s="372">
        <v>4.771</v>
      </c>
      <c r="F25" s="368" t="s">
        <v>340</v>
      </c>
      <c r="G25" s="376">
        <f t="shared" si="0"/>
        <v>0</v>
      </c>
    </row>
    <row r="26" spans="1:7" ht="12.75">
      <c r="A26" s="295" t="s">
        <v>373</v>
      </c>
      <c r="C26" s="376">
        <f>'Data Entry'!I42</f>
        <v>1</v>
      </c>
      <c r="D26" s="368" t="s">
        <v>342</v>
      </c>
      <c r="E26" s="372">
        <v>6.024</v>
      </c>
      <c r="F26" s="368" t="s">
        <v>340</v>
      </c>
      <c r="G26" s="376">
        <f t="shared" si="0"/>
        <v>6.024</v>
      </c>
    </row>
    <row r="27" spans="1:7" ht="12.75">
      <c r="A27" s="295" t="s">
        <v>374</v>
      </c>
      <c r="C27" s="376">
        <f>'Data Entry'!I43</f>
        <v>0</v>
      </c>
      <c r="D27" s="368" t="s">
        <v>342</v>
      </c>
      <c r="E27" s="372">
        <v>5.833</v>
      </c>
      <c r="F27" s="368" t="s">
        <v>340</v>
      </c>
      <c r="G27" s="376">
        <f t="shared" si="0"/>
        <v>0</v>
      </c>
    </row>
    <row r="28" spans="1:7" ht="12.75">
      <c r="A28" s="295" t="s">
        <v>421</v>
      </c>
      <c r="C28" s="376">
        <f>'Data Entry'!I44</f>
        <v>0</v>
      </c>
      <c r="D28" s="368" t="s">
        <v>342</v>
      </c>
      <c r="E28" s="372">
        <v>7.947</v>
      </c>
      <c r="F28" s="368" t="s">
        <v>340</v>
      </c>
      <c r="G28" s="376">
        <f t="shared" si="0"/>
        <v>0</v>
      </c>
    </row>
    <row r="29" spans="1:7" ht="12.75">
      <c r="A29" s="295" t="s">
        <v>422</v>
      </c>
      <c r="C29" s="376">
        <f>'Data Entry'!I45</f>
        <v>0</v>
      </c>
      <c r="D29" s="368" t="s">
        <v>342</v>
      </c>
      <c r="E29" s="372">
        <v>3.158</v>
      </c>
      <c r="F29" s="368" t="s">
        <v>340</v>
      </c>
      <c r="G29" s="376">
        <f t="shared" si="0"/>
        <v>0</v>
      </c>
    </row>
    <row r="30" spans="1:7" ht="12.75">
      <c r="A30" s="295" t="s">
        <v>423</v>
      </c>
      <c r="C30" s="376">
        <f>'Data Entry'!I46</f>
        <v>0</v>
      </c>
      <c r="D30" s="368" t="s">
        <v>342</v>
      </c>
      <c r="E30" s="372">
        <v>6.773</v>
      </c>
      <c r="F30" s="368" t="s">
        <v>340</v>
      </c>
      <c r="G30" s="376">
        <f t="shared" si="0"/>
        <v>0</v>
      </c>
    </row>
    <row r="31" spans="1:7" ht="12.75">
      <c r="A31" s="295" t="s">
        <v>375</v>
      </c>
      <c r="C31" s="376">
        <f>'Data Entry'!I47</f>
        <v>0</v>
      </c>
      <c r="D31" s="368" t="s">
        <v>342</v>
      </c>
      <c r="E31" s="372">
        <v>3.595</v>
      </c>
      <c r="F31" s="368" t="s">
        <v>340</v>
      </c>
      <c r="G31" s="376">
        <f t="shared" si="0"/>
        <v>0</v>
      </c>
    </row>
    <row r="32" spans="1:7" ht="12.75">
      <c r="A32" s="295" t="s">
        <v>378</v>
      </c>
      <c r="C32" s="376">
        <f>'Data Entry'!I48</f>
        <v>56</v>
      </c>
      <c r="D32" s="368" t="s">
        <v>342</v>
      </c>
      <c r="E32" s="372">
        <v>0.003</v>
      </c>
      <c r="F32" s="368" t="s">
        <v>340</v>
      </c>
      <c r="G32" s="376">
        <f t="shared" si="0"/>
        <v>0.168</v>
      </c>
    </row>
    <row r="33" spans="1:7" ht="12.75">
      <c r="A33" s="295" t="s">
        <v>424</v>
      </c>
      <c r="C33" s="376">
        <f>'Data Entry'!I49</f>
        <v>0</v>
      </c>
      <c r="D33" s="368" t="s">
        <v>342</v>
      </c>
      <c r="E33" s="372">
        <v>4.822</v>
      </c>
      <c r="F33" s="368" t="s">
        <v>340</v>
      </c>
      <c r="G33" s="376">
        <f t="shared" si="0"/>
        <v>0</v>
      </c>
    </row>
    <row r="34" spans="1:7" ht="12.75">
      <c r="A34" s="295" t="s">
        <v>376</v>
      </c>
      <c r="C34" s="376">
        <f>'Data Entry'!I50</f>
        <v>0</v>
      </c>
      <c r="D34" s="368" t="s">
        <v>342</v>
      </c>
      <c r="E34" s="372">
        <v>4.421</v>
      </c>
      <c r="F34" s="368" t="s">
        <v>340</v>
      </c>
      <c r="G34" s="376">
        <f t="shared" si="0"/>
        <v>0</v>
      </c>
    </row>
    <row r="35" spans="1:7" ht="12.75">
      <c r="A35" s="295" t="s">
        <v>377</v>
      </c>
      <c r="C35" s="376">
        <f>'Data Entry'!I51</f>
        <v>0</v>
      </c>
      <c r="D35" s="368" t="s">
        <v>342</v>
      </c>
      <c r="E35" s="372">
        <v>4.806</v>
      </c>
      <c r="F35" s="368" t="s">
        <v>340</v>
      </c>
      <c r="G35" s="392">
        <f t="shared" si="0"/>
        <v>0</v>
      </c>
    </row>
    <row r="36" spans="1:7" ht="12.75">
      <c r="A36" s="311" t="s">
        <v>425</v>
      </c>
      <c r="G36" s="393">
        <f>SUM(G22:G35)</f>
        <v>25.823</v>
      </c>
    </row>
    <row r="37" ht="12.75">
      <c r="A37" s="377"/>
    </row>
    <row r="39" spans="1:10" ht="12.75">
      <c r="A39" s="707" t="s">
        <v>419</v>
      </c>
      <c r="B39" s="707"/>
      <c r="C39" s="707"/>
      <c r="D39" s="707"/>
      <c r="E39" s="707"/>
      <c r="F39" s="707"/>
      <c r="G39" s="707"/>
      <c r="H39" s="707"/>
      <c r="I39" s="707"/>
      <c r="J39" s="707"/>
    </row>
    <row r="40" spans="1:10" ht="12.75">
      <c r="A40" s="707" t="s">
        <v>403</v>
      </c>
      <c r="B40" s="707"/>
      <c r="C40" s="707"/>
      <c r="D40" s="707"/>
      <c r="E40" s="707"/>
      <c r="F40" s="707"/>
      <c r="G40" s="707"/>
      <c r="H40" s="707"/>
      <c r="I40" s="707"/>
      <c r="J40" s="707"/>
    </row>
    <row r="41" spans="1:10" ht="12.75">
      <c r="A41" s="707" t="s">
        <v>420</v>
      </c>
      <c r="B41" s="707"/>
      <c r="C41" s="707"/>
      <c r="D41" s="707"/>
      <c r="E41" s="707"/>
      <c r="F41" s="707"/>
      <c r="G41" s="707"/>
      <c r="H41" s="707"/>
      <c r="I41" s="707"/>
      <c r="J41" s="707"/>
    </row>
    <row r="42" ht="12.75">
      <c r="J42" s="311" t="s">
        <v>483</v>
      </c>
    </row>
    <row r="44" spans="1:4" ht="12.75">
      <c r="A44" s="400" t="s">
        <v>404</v>
      </c>
      <c r="B44" s="401" t="s">
        <v>333</v>
      </c>
      <c r="C44" s="402" t="s">
        <v>334</v>
      </c>
      <c r="D44" s="401" t="s">
        <v>202</v>
      </c>
    </row>
    <row r="45" spans="1:4" ht="12.75">
      <c r="A45" s="390" t="s">
        <v>428</v>
      </c>
      <c r="B45" s="369">
        <f>'Data Entry'!I18</f>
        <v>0</v>
      </c>
      <c r="C45" s="369">
        <f>'Data Entry'!L18</f>
        <v>0</v>
      </c>
      <c r="D45" s="369">
        <f>SUM(B45:C45)</f>
        <v>0</v>
      </c>
    </row>
    <row r="48" ht="11.25" customHeight="1"/>
    <row r="49" spans="1:7" ht="42" customHeight="1">
      <c r="A49" s="378" t="s">
        <v>368</v>
      </c>
      <c r="C49" s="329" t="s">
        <v>367</v>
      </c>
      <c r="E49" s="371" t="s">
        <v>335</v>
      </c>
      <c r="G49" s="371" t="s">
        <v>369</v>
      </c>
    </row>
    <row r="50" spans="1:7" ht="12.75">
      <c r="A50" s="295" t="s">
        <v>333</v>
      </c>
      <c r="C50" s="369">
        <f>B45</f>
        <v>0</v>
      </c>
      <c r="D50" s="368" t="s">
        <v>342</v>
      </c>
      <c r="E50" s="372">
        <f>IF('Data Entry'!I20&gt;0,IF('Data Entry'!I20&lt;100,Calculations!L9,IF('Data Entry'!I20&lt;500,Calculations!L17,IF('Data Entry'!I20&lt;600,Calculations!L25,Calculations!L27))),0)</f>
        <v>1.318</v>
      </c>
      <c r="F50" s="368" t="s">
        <v>340</v>
      </c>
      <c r="G50" s="369">
        <f>C50*E50</f>
        <v>0</v>
      </c>
    </row>
    <row r="51" spans="1:7" ht="12.75">
      <c r="A51" s="388" t="s">
        <v>334</v>
      </c>
      <c r="C51" s="373">
        <f>C45</f>
        <v>0</v>
      </c>
      <c r="D51" s="368" t="s">
        <v>342</v>
      </c>
      <c r="E51" s="372">
        <f>IF('Data Entry'!L20&gt;0,IF('Data Entry'!L20&lt;100,Calculations!N9,IF('Data Entry'!L20&lt;500,Calculations!N17,IF('Data Entry'!L20&lt;600,Calculations!N25,Calculations!N27))),0)</f>
        <v>1.559</v>
      </c>
      <c r="F51" s="368" t="s">
        <v>340</v>
      </c>
      <c r="G51" s="373">
        <f>C51*E51</f>
        <v>0</v>
      </c>
    </row>
    <row r="52" spans="1:7" ht="12.75">
      <c r="A52" s="386" t="s">
        <v>370</v>
      </c>
      <c r="C52" s="374">
        <f>SUM(C50:C51)</f>
        <v>0</v>
      </c>
      <c r="G52" s="374">
        <f>SUM(G50:G51)</f>
        <v>0</v>
      </c>
    </row>
    <row r="56" spans="1:7" ht="42" customHeight="1">
      <c r="A56" s="375" t="s">
        <v>426</v>
      </c>
      <c r="C56" s="371" t="s">
        <v>434</v>
      </c>
      <c r="E56" s="371" t="s">
        <v>335</v>
      </c>
      <c r="G56" s="371" t="s">
        <v>435</v>
      </c>
    </row>
    <row r="57" spans="1:7" ht="12.75">
      <c r="A57" s="295" t="s">
        <v>350</v>
      </c>
      <c r="C57" s="376">
        <f>'Data Entry'!J38</f>
        <v>0</v>
      </c>
      <c r="D57" s="368" t="s">
        <v>342</v>
      </c>
      <c r="E57" s="372">
        <v>0.04</v>
      </c>
      <c r="F57" s="368" t="s">
        <v>340</v>
      </c>
      <c r="G57" s="376">
        <f>C57*E57</f>
        <v>0</v>
      </c>
    </row>
    <row r="58" spans="1:7" ht="12.75">
      <c r="A58" s="295" t="s">
        <v>351</v>
      </c>
      <c r="C58" s="376">
        <f>'Data Entry'!J39</f>
        <v>0</v>
      </c>
      <c r="D58" s="368" t="s">
        <v>342</v>
      </c>
      <c r="E58" s="372">
        <v>0.06</v>
      </c>
      <c r="F58" s="368" t="s">
        <v>340</v>
      </c>
      <c r="G58" s="376">
        <f aca="true" t="shared" si="1" ref="G58:G69">C58*E58</f>
        <v>0</v>
      </c>
    </row>
    <row r="59" spans="1:7" ht="12.75">
      <c r="A59" s="295" t="s">
        <v>371</v>
      </c>
      <c r="C59" s="376">
        <f>'Data Entry'!J40</f>
        <v>0</v>
      </c>
      <c r="D59" s="368" t="s">
        <v>342</v>
      </c>
      <c r="E59" s="372">
        <v>0.115</v>
      </c>
      <c r="F59" s="368" t="s">
        <v>340</v>
      </c>
      <c r="G59" s="376">
        <f t="shared" si="1"/>
        <v>0</v>
      </c>
    </row>
    <row r="60" spans="1:7" ht="12.75">
      <c r="A60" s="295" t="s">
        <v>372</v>
      </c>
      <c r="C60" s="376">
        <f>'Data Entry'!J41</f>
        <v>0</v>
      </c>
      <c r="D60" s="368" t="s">
        <v>342</v>
      </c>
      <c r="E60" s="372">
        <v>4.771</v>
      </c>
      <c r="F60" s="368" t="s">
        <v>340</v>
      </c>
      <c r="G60" s="376">
        <f t="shared" si="1"/>
        <v>0</v>
      </c>
    </row>
    <row r="61" spans="1:7" ht="12.75">
      <c r="A61" s="295" t="s">
        <v>373</v>
      </c>
      <c r="C61" s="376">
        <f>'Data Entry'!J42</f>
        <v>0</v>
      </c>
      <c r="D61" s="368" t="s">
        <v>342</v>
      </c>
      <c r="E61" s="372">
        <v>6.024</v>
      </c>
      <c r="F61" s="368" t="s">
        <v>340</v>
      </c>
      <c r="G61" s="376">
        <f t="shared" si="1"/>
        <v>0</v>
      </c>
    </row>
    <row r="62" spans="1:7" ht="12.75">
      <c r="A62" s="295" t="s">
        <v>374</v>
      </c>
      <c r="C62" s="376">
        <f>'Data Entry'!J43</f>
        <v>0</v>
      </c>
      <c r="D62" s="368" t="s">
        <v>342</v>
      </c>
      <c r="E62" s="372">
        <v>5.833</v>
      </c>
      <c r="F62" s="368" t="s">
        <v>340</v>
      </c>
      <c r="G62" s="376">
        <f t="shared" si="1"/>
        <v>0</v>
      </c>
    </row>
    <row r="63" spans="1:7" ht="12.75">
      <c r="A63" s="295" t="s">
        <v>421</v>
      </c>
      <c r="C63" s="376">
        <f>'Data Entry'!J44</f>
        <v>0</v>
      </c>
      <c r="D63" s="368" t="s">
        <v>342</v>
      </c>
      <c r="E63" s="372">
        <v>7.947</v>
      </c>
      <c r="F63" s="368" t="s">
        <v>340</v>
      </c>
      <c r="G63" s="376">
        <f t="shared" si="1"/>
        <v>0</v>
      </c>
    </row>
    <row r="64" spans="1:7" ht="12.75">
      <c r="A64" s="295" t="s">
        <v>422</v>
      </c>
      <c r="C64" s="376">
        <f>'Data Entry'!J45</f>
        <v>0</v>
      </c>
      <c r="D64" s="368" t="s">
        <v>342</v>
      </c>
      <c r="E64" s="372">
        <v>3.158</v>
      </c>
      <c r="F64" s="368" t="s">
        <v>340</v>
      </c>
      <c r="G64" s="376">
        <f t="shared" si="1"/>
        <v>0</v>
      </c>
    </row>
    <row r="65" spans="1:7" ht="12.75">
      <c r="A65" s="295" t="s">
        <v>423</v>
      </c>
      <c r="C65" s="376">
        <f>'Data Entry'!J46</f>
        <v>0</v>
      </c>
      <c r="D65" s="368" t="s">
        <v>342</v>
      </c>
      <c r="E65" s="372">
        <v>6.773</v>
      </c>
      <c r="F65" s="368" t="s">
        <v>340</v>
      </c>
      <c r="G65" s="376">
        <f t="shared" si="1"/>
        <v>0</v>
      </c>
    </row>
    <row r="66" spans="1:7" ht="12.75">
      <c r="A66" s="295" t="s">
        <v>378</v>
      </c>
      <c r="C66" s="376">
        <f>'Data Entry'!J48</f>
        <v>0</v>
      </c>
      <c r="D66" s="368" t="s">
        <v>342</v>
      </c>
      <c r="E66" s="372">
        <v>0.003</v>
      </c>
      <c r="F66" s="368" t="s">
        <v>340</v>
      </c>
      <c r="G66" s="376">
        <f t="shared" si="1"/>
        <v>0</v>
      </c>
    </row>
    <row r="67" spans="1:7" ht="12.75">
      <c r="A67" s="295" t="s">
        <v>424</v>
      </c>
      <c r="C67" s="376">
        <f>'Data Entry'!J49</f>
        <v>0</v>
      </c>
      <c r="D67" s="368" t="s">
        <v>342</v>
      </c>
      <c r="E67" s="372">
        <v>4.822</v>
      </c>
      <c r="F67" s="368" t="s">
        <v>340</v>
      </c>
      <c r="G67" s="376">
        <f t="shared" si="1"/>
        <v>0</v>
      </c>
    </row>
    <row r="68" spans="1:7" ht="12.75">
      <c r="A68" s="295" t="s">
        <v>376</v>
      </c>
      <c r="C68" s="376">
        <f>'Data Entry'!J50</f>
        <v>0</v>
      </c>
      <c r="D68" s="368" t="s">
        <v>342</v>
      </c>
      <c r="E68" s="372">
        <v>4.421</v>
      </c>
      <c r="F68" s="368" t="s">
        <v>340</v>
      </c>
      <c r="G68" s="376">
        <f t="shared" si="1"/>
        <v>0</v>
      </c>
    </row>
    <row r="69" spans="1:7" ht="12.75">
      <c r="A69" s="295" t="s">
        <v>377</v>
      </c>
      <c r="C69" s="376">
        <f>'Data Entry'!J51</f>
        <v>0</v>
      </c>
      <c r="D69" s="368" t="s">
        <v>342</v>
      </c>
      <c r="E69" s="372">
        <v>4.806</v>
      </c>
      <c r="F69" s="368" t="s">
        <v>340</v>
      </c>
      <c r="G69" s="392">
        <f t="shared" si="1"/>
        <v>0</v>
      </c>
    </row>
    <row r="70" spans="1:7" ht="12.75">
      <c r="A70" s="311" t="s">
        <v>425</v>
      </c>
      <c r="G70" s="393">
        <f>SUM(G57:G69)</f>
        <v>0</v>
      </c>
    </row>
    <row r="71" ht="12.75">
      <c r="A71" s="377"/>
    </row>
    <row r="73" spans="1:10" ht="12.75">
      <c r="A73" s="707" t="s">
        <v>419</v>
      </c>
      <c r="B73" s="707"/>
      <c r="C73" s="707"/>
      <c r="D73" s="707"/>
      <c r="E73" s="707"/>
      <c r="F73" s="707"/>
      <c r="G73" s="707"/>
      <c r="H73" s="707"/>
      <c r="I73" s="707"/>
      <c r="J73" s="707"/>
    </row>
    <row r="74" spans="1:10" ht="12.75">
      <c r="A74" s="707" t="s">
        <v>403</v>
      </c>
      <c r="B74" s="707"/>
      <c r="C74" s="707"/>
      <c r="D74" s="707"/>
      <c r="E74" s="707"/>
      <c r="F74" s="707"/>
      <c r="G74" s="707"/>
      <c r="H74" s="707"/>
      <c r="I74" s="707"/>
      <c r="J74" s="707"/>
    </row>
    <row r="75" spans="1:10" ht="12.75">
      <c r="A75" s="707" t="s">
        <v>420</v>
      </c>
      <c r="B75" s="707"/>
      <c r="C75" s="707"/>
      <c r="D75" s="707"/>
      <c r="E75" s="707"/>
      <c r="F75" s="707"/>
      <c r="G75" s="707"/>
      <c r="H75" s="707"/>
      <c r="I75" s="707"/>
      <c r="J75" s="707"/>
    </row>
    <row r="76" ht="12.75">
      <c r="J76" s="311" t="s">
        <v>485</v>
      </c>
    </row>
    <row r="78" spans="1:4" ht="12.75">
      <c r="A78" s="400" t="s">
        <v>405</v>
      </c>
      <c r="B78" s="401" t="s">
        <v>333</v>
      </c>
      <c r="C78" s="402" t="s">
        <v>334</v>
      </c>
      <c r="D78" s="401" t="s">
        <v>202</v>
      </c>
    </row>
    <row r="79" spans="1:4" ht="12.75">
      <c r="A79" s="390" t="s">
        <v>427</v>
      </c>
      <c r="B79" s="369">
        <f>'Data Entry'!I19</f>
        <v>0</v>
      </c>
      <c r="C79" s="369">
        <f>'Data Entry'!L19</f>
        <v>0</v>
      </c>
      <c r="D79" s="369">
        <f>SUM(B79:C79)</f>
        <v>0</v>
      </c>
    </row>
    <row r="82" ht="11.25" customHeight="1"/>
    <row r="83" spans="1:7" ht="42" customHeight="1">
      <c r="A83" s="378" t="s">
        <v>368</v>
      </c>
      <c r="C83" s="329" t="s">
        <v>367</v>
      </c>
      <c r="E83" s="371" t="s">
        <v>335</v>
      </c>
      <c r="G83" s="371" t="s">
        <v>369</v>
      </c>
    </row>
    <row r="84" spans="1:7" ht="12.75">
      <c r="A84" s="295" t="s">
        <v>333</v>
      </c>
      <c r="C84" s="369">
        <f>B79</f>
        <v>0</v>
      </c>
      <c r="D84" s="368" t="s">
        <v>342</v>
      </c>
      <c r="E84" s="372">
        <f>IF('Data Entry'!I20&gt;0,IF('Data Entry'!I20&lt;100,Calculations!L9,IF('Data Entry'!I20&lt;500,Calculations!L17,IF('Data Entry'!I20&lt;600,Calculations!L25,Calculations!L27))),0)</f>
        <v>1.318</v>
      </c>
      <c r="F84" s="368" t="s">
        <v>340</v>
      </c>
      <c r="G84" s="369">
        <f>C84*E84</f>
        <v>0</v>
      </c>
    </row>
    <row r="85" spans="1:7" ht="12.75">
      <c r="A85" s="388" t="s">
        <v>334</v>
      </c>
      <c r="C85" s="373">
        <f>C79</f>
        <v>0</v>
      </c>
      <c r="D85" s="368" t="s">
        <v>342</v>
      </c>
      <c r="E85" s="372">
        <f>IF('Data Entry'!L20&gt;0,IF('Data Entry'!L20&lt;100,Calculations!N9,IF('Data Entry'!L20&lt;500,Calculations!N17,IF('Data Entry'!L20&lt;600,Calculations!N25,Calculations!N27))),0)</f>
        <v>1.559</v>
      </c>
      <c r="F85" s="368" t="s">
        <v>340</v>
      </c>
      <c r="G85" s="373">
        <f>C85*E85</f>
        <v>0</v>
      </c>
    </row>
    <row r="86" spans="1:7" ht="12.75">
      <c r="A86" s="386" t="s">
        <v>370</v>
      </c>
      <c r="C86" s="374">
        <f>SUM(C84:C85)</f>
        <v>0</v>
      </c>
      <c r="G86" s="374">
        <f>SUM(G84:G85)</f>
        <v>0</v>
      </c>
    </row>
    <row r="90" spans="1:7" ht="42" customHeight="1">
      <c r="A90" s="375" t="s">
        <v>430</v>
      </c>
      <c r="C90" s="371" t="s">
        <v>434</v>
      </c>
      <c r="E90" s="371" t="s">
        <v>335</v>
      </c>
      <c r="G90" s="371" t="s">
        <v>435</v>
      </c>
    </row>
    <row r="91" spans="1:7" ht="12.75">
      <c r="A91" s="295" t="s">
        <v>350</v>
      </c>
      <c r="C91" s="376">
        <f>'Data Entry'!K38</f>
        <v>0</v>
      </c>
      <c r="D91" s="368" t="s">
        <v>342</v>
      </c>
      <c r="E91" s="372">
        <v>0.04</v>
      </c>
      <c r="F91" s="368" t="s">
        <v>340</v>
      </c>
      <c r="G91" s="376">
        <f>C91*E91</f>
        <v>0</v>
      </c>
    </row>
    <row r="92" spans="1:7" ht="12.75">
      <c r="A92" s="295" t="s">
        <v>351</v>
      </c>
      <c r="C92" s="376">
        <f>'Data Entry'!K39</f>
        <v>0</v>
      </c>
      <c r="D92" s="368" t="s">
        <v>342</v>
      </c>
      <c r="E92" s="372">
        <v>0.06</v>
      </c>
      <c r="F92" s="368" t="s">
        <v>340</v>
      </c>
      <c r="G92" s="376">
        <f aca="true" t="shared" si="2" ref="G92:G103">C92*E92</f>
        <v>0</v>
      </c>
    </row>
    <row r="93" spans="1:7" ht="12.75">
      <c r="A93" s="295" t="s">
        <v>371</v>
      </c>
      <c r="C93" s="376">
        <f>'Data Entry'!K40</f>
        <v>0</v>
      </c>
      <c r="D93" s="368" t="s">
        <v>342</v>
      </c>
      <c r="E93" s="372">
        <v>0.115</v>
      </c>
      <c r="F93" s="368" t="s">
        <v>340</v>
      </c>
      <c r="G93" s="376">
        <f t="shared" si="2"/>
        <v>0</v>
      </c>
    </row>
    <row r="94" spans="1:7" ht="12.75">
      <c r="A94" s="295" t="s">
        <v>372</v>
      </c>
      <c r="C94" s="376">
        <f>'Data Entry'!K41</f>
        <v>0</v>
      </c>
      <c r="D94" s="368" t="s">
        <v>342</v>
      </c>
      <c r="E94" s="372">
        <v>4.771</v>
      </c>
      <c r="F94" s="368" t="s">
        <v>340</v>
      </c>
      <c r="G94" s="376">
        <f t="shared" si="2"/>
        <v>0</v>
      </c>
    </row>
    <row r="95" spans="1:7" ht="12.75">
      <c r="A95" s="295" t="s">
        <v>373</v>
      </c>
      <c r="C95" s="376">
        <f>'Data Entry'!K42</f>
        <v>0</v>
      </c>
      <c r="D95" s="368" t="s">
        <v>342</v>
      </c>
      <c r="E95" s="372">
        <v>6.024</v>
      </c>
      <c r="F95" s="368" t="s">
        <v>340</v>
      </c>
      <c r="G95" s="376">
        <f t="shared" si="2"/>
        <v>0</v>
      </c>
    </row>
    <row r="96" spans="1:7" ht="12.75">
      <c r="A96" s="295" t="s">
        <v>374</v>
      </c>
      <c r="C96" s="376">
        <f>'Data Entry'!K43</f>
        <v>0</v>
      </c>
      <c r="D96" s="368" t="s">
        <v>342</v>
      </c>
      <c r="E96" s="372">
        <v>5.833</v>
      </c>
      <c r="F96" s="368" t="s">
        <v>340</v>
      </c>
      <c r="G96" s="376">
        <f t="shared" si="2"/>
        <v>0</v>
      </c>
    </row>
    <row r="97" spans="1:7" ht="12.75">
      <c r="A97" s="295" t="s">
        <v>421</v>
      </c>
      <c r="C97" s="376">
        <f>'Data Entry'!K44</f>
        <v>0</v>
      </c>
      <c r="D97" s="368" t="s">
        <v>342</v>
      </c>
      <c r="E97" s="372">
        <v>7.947</v>
      </c>
      <c r="F97" s="368" t="s">
        <v>340</v>
      </c>
      <c r="G97" s="376">
        <f t="shared" si="2"/>
        <v>0</v>
      </c>
    </row>
    <row r="98" spans="1:7" ht="12.75">
      <c r="A98" s="295" t="s">
        <v>422</v>
      </c>
      <c r="C98" s="376">
        <f>'Data Entry'!K45</f>
        <v>0</v>
      </c>
      <c r="D98" s="368" t="s">
        <v>342</v>
      </c>
      <c r="E98" s="372">
        <v>3.158</v>
      </c>
      <c r="F98" s="368" t="s">
        <v>340</v>
      </c>
      <c r="G98" s="376">
        <f t="shared" si="2"/>
        <v>0</v>
      </c>
    </row>
    <row r="99" spans="1:7" ht="12.75">
      <c r="A99" s="295" t="s">
        <v>423</v>
      </c>
      <c r="C99" s="376">
        <f>'Data Entry'!K46</f>
        <v>0</v>
      </c>
      <c r="D99" s="368" t="s">
        <v>342</v>
      </c>
      <c r="E99" s="372">
        <v>6.773</v>
      </c>
      <c r="F99" s="368" t="s">
        <v>340</v>
      </c>
      <c r="G99" s="376">
        <f t="shared" si="2"/>
        <v>0</v>
      </c>
    </row>
    <row r="100" spans="1:7" ht="12.75">
      <c r="A100" s="295" t="s">
        <v>378</v>
      </c>
      <c r="C100" s="376">
        <f>'Data Entry'!K48</f>
        <v>0</v>
      </c>
      <c r="D100" s="368" t="s">
        <v>342</v>
      </c>
      <c r="E100" s="372">
        <v>0.003</v>
      </c>
      <c r="F100" s="368" t="s">
        <v>340</v>
      </c>
      <c r="G100" s="376">
        <f t="shared" si="2"/>
        <v>0</v>
      </c>
    </row>
    <row r="101" spans="1:7" ht="12.75">
      <c r="A101" s="295" t="s">
        <v>424</v>
      </c>
      <c r="C101" s="376">
        <f>'Data Entry'!K49</f>
        <v>0</v>
      </c>
      <c r="D101" s="368" t="s">
        <v>342</v>
      </c>
      <c r="E101" s="372">
        <v>4.822</v>
      </c>
      <c r="F101" s="368" t="s">
        <v>340</v>
      </c>
      <c r="G101" s="376">
        <f t="shared" si="2"/>
        <v>0</v>
      </c>
    </row>
    <row r="102" spans="1:7" ht="12.75">
      <c r="A102" s="295" t="s">
        <v>376</v>
      </c>
      <c r="C102" s="376">
        <f>'Data Entry'!K50</f>
        <v>0</v>
      </c>
      <c r="D102" s="368" t="s">
        <v>342</v>
      </c>
      <c r="E102" s="372">
        <v>4.421</v>
      </c>
      <c r="F102" s="368" t="s">
        <v>340</v>
      </c>
      <c r="G102" s="376">
        <f t="shared" si="2"/>
        <v>0</v>
      </c>
    </row>
    <row r="103" spans="1:7" ht="12.75">
      <c r="A103" s="295" t="s">
        <v>377</v>
      </c>
      <c r="C103" s="376">
        <f>'Data Entry'!K51</f>
        <v>0</v>
      </c>
      <c r="D103" s="368" t="s">
        <v>342</v>
      </c>
      <c r="E103" s="372">
        <v>4.806</v>
      </c>
      <c r="F103" s="368" t="s">
        <v>340</v>
      </c>
      <c r="G103" s="392">
        <f t="shared" si="2"/>
        <v>0</v>
      </c>
    </row>
    <row r="104" spans="1:7" ht="12.75">
      <c r="A104" s="311" t="s">
        <v>425</v>
      </c>
      <c r="G104" s="393">
        <f>SUM(G91:G103)</f>
        <v>0</v>
      </c>
    </row>
    <row r="105" spans="1:7" ht="12.75">
      <c r="A105" s="311"/>
      <c r="G105" s="393"/>
    </row>
    <row r="106" spans="1:7" ht="12.75">
      <c r="A106" s="311"/>
      <c r="G106" s="393"/>
    </row>
    <row r="107" spans="1:10" ht="12.75">
      <c r="A107" s="707" t="s">
        <v>419</v>
      </c>
      <c r="B107" s="707"/>
      <c r="C107" s="707"/>
      <c r="D107" s="707"/>
      <c r="E107" s="707"/>
      <c r="F107" s="707"/>
      <c r="G107" s="707"/>
      <c r="H107" s="707"/>
      <c r="I107" s="707"/>
      <c r="J107" s="707"/>
    </row>
    <row r="108" spans="1:10" ht="12.75">
      <c r="A108" s="707" t="s">
        <v>403</v>
      </c>
      <c r="B108" s="707"/>
      <c r="C108" s="707"/>
      <c r="D108" s="707"/>
      <c r="E108" s="707"/>
      <c r="F108" s="707"/>
      <c r="G108" s="707"/>
      <c r="H108" s="707"/>
      <c r="I108" s="707"/>
      <c r="J108" s="707"/>
    </row>
    <row r="109" spans="1:10" ht="12.75">
      <c r="A109" s="707" t="s">
        <v>420</v>
      </c>
      <c r="B109" s="707"/>
      <c r="C109" s="707"/>
      <c r="D109" s="707"/>
      <c r="E109" s="707"/>
      <c r="F109" s="707"/>
      <c r="G109" s="707"/>
      <c r="H109" s="707"/>
      <c r="I109" s="707"/>
      <c r="J109" s="707"/>
    </row>
    <row r="110" spans="1:10" ht="12.75">
      <c r="A110" s="314"/>
      <c r="B110" s="314"/>
      <c r="C110" s="314"/>
      <c r="D110" s="314"/>
      <c r="E110" s="314"/>
      <c r="F110" s="314"/>
      <c r="G110" s="314"/>
      <c r="H110" s="314"/>
      <c r="I110" s="314"/>
      <c r="J110" s="311" t="s">
        <v>484</v>
      </c>
    </row>
    <row r="111" spans="1:9" ht="42" customHeight="1">
      <c r="A111" s="378" t="s">
        <v>429</v>
      </c>
      <c r="C111" s="329" t="s">
        <v>431</v>
      </c>
      <c r="D111" s="391"/>
      <c r="E111" s="371" t="s">
        <v>432</v>
      </c>
      <c r="I111" s="329" t="s">
        <v>406</v>
      </c>
    </row>
    <row r="112" spans="1:9" ht="12.75">
      <c r="A112" s="295" t="s">
        <v>366</v>
      </c>
      <c r="C112" s="369">
        <f>G17</f>
        <v>617.258</v>
      </c>
      <c r="D112" s="368" t="s">
        <v>344</v>
      </c>
      <c r="E112" s="369">
        <f>G36</f>
        <v>25.823</v>
      </c>
      <c r="F112" s="368"/>
      <c r="H112" s="368" t="s">
        <v>340</v>
      </c>
      <c r="I112" s="369">
        <f>(C112+E112)</f>
        <v>643.081</v>
      </c>
    </row>
    <row r="113" spans="1:9" ht="12.75">
      <c r="A113" s="295" t="s">
        <v>404</v>
      </c>
      <c r="C113" s="369">
        <f>G52</f>
        <v>0</v>
      </c>
      <c r="D113" s="368" t="s">
        <v>344</v>
      </c>
      <c r="E113" s="369">
        <f>G70</f>
        <v>0</v>
      </c>
      <c r="F113" s="368" t="s">
        <v>342</v>
      </c>
      <c r="G113" s="295">
        <v>0.95</v>
      </c>
      <c r="H113" s="368" t="s">
        <v>340</v>
      </c>
      <c r="I113" s="369">
        <f>(C113+E113)*0.95</f>
        <v>0</v>
      </c>
    </row>
    <row r="114" spans="1:9" ht="12.75">
      <c r="A114" s="295" t="s">
        <v>405</v>
      </c>
      <c r="C114" s="369">
        <f>G86</f>
        <v>0</v>
      </c>
      <c r="D114" s="368" t="s">
        <v>344</v>
      </c>
      <c r="E114" s="369">
        <f>G104</f>
        <v>0</v>
      </c>
      <c r="F114" s="368" t="s">
        <v>342</v>
      </c>
      <c r="G114" s="295">
        <v>0.85</v>
      </c>
      <c r="H114" s="368" t="s">
        <v>340</v>
      </c>
      <c r="I114" s="373">
        <f>(C114+E114)*0.85</f>
        <v>0</v>
      </c>
    </row>
    <row r="115" spans="5:9" ht="12.75">
      <c r="E115" s="383"/>
      <c r="I115" s="374">
        <f>SUM(I112:I114)</f>
        <v>643.081</v>
      </c>
    </row>
    <row r="117" spans="1:7" ht="12.75">
      <c r="A117" s="378" t="s">
        <v>407</v>
      </c>
      <c r="E117" s="378" t="s">
        <v>381</v>
      </c>
      <c r="F117" s="370"/>
      <c r="G117" s="370"/>
    </row>
    <row r="118" spans="1:9" ht="12.75">
      <c r="A118" s="295" t="s">
        <v>361</v>
      </c>
      <c r="C118" s="369">
        <f>I115</f>
        <v>643.081</v>
      </c>
      <c r="E118" s="295" t="s">
        <v>382</v>
      </c>
      <c r="H118" s="382">
        <f>'Data Entry'!N68</f>
        <v>3500</v>
      </c>
      <c r="I118" s="382"/>
    </row>
    <row r="119" spans="1:8" ht="12.75">
      <c r="A119" s="295" t="s">
        <v>380</v>
      </c>
      <c r="C119" s="437">
        <f>Calculations!L70</f>
        <v>4150.43</v>
      </c>
      <c r="H119" s="370"/>
    </row>
    <row r="120" spans="1:8" ht="12.75">
      <c r="A120" s="295" t="s">
        <v>379</v>
      </c>
      <c r="C120" s="385">
        <f>C118*C119</f>
        <v>2669062.67</v>
      </c>
      <c r="H120" s="385">
        <f>H118</f>
        <v>3500</v>
      </c>
    </row>
    <row r="121" spans="3:8" ht="12.75">
      <c r="C121" s="385"/>
      <c r="H121" s="385"/>
    </row>
    <row r="122" spans="1:3" ht="12.75">
      <c r="A122" s="295" t="s">
        <v>381</v>
      </c>
      <c r="C122" s="384">
        <f>H120</f>
        <v>3500</v>
      </c>
    </row>
    <row r="123" spans="1:3" ht="12.75">
      <c r="A123" s="295" t="s">
        <v>408</v>
      </c>
      <c r="C123" s="385">
        <f>C120+C122</f>
        <v>2672562.67</v>
      </c>
    </row>
    <row r="125" spans="1:5" ht="12.75">
      <c r="A125" s="378" t="s">
        <v>409</v>
      </c>
      <c r="C125" s="329" t="s">
        <v>332</v>
      </c>
      <c r="D125" s="329" t="s">
        <v>333</v>
      </c>
      <c r="E125" s="379" t="s">
        <v>334</v>
      </c>
    </row>
    <row r="126" spans="1:5" ht="12.75">
      <c r="A126" s="295" t="s">
        <v>367</v>
      </c>
      <c r="C126" s="369">
        <f>B9</f>
        <v>0</v>
      </c>
      <c r="D126" s="369">
        <f>SUM(C9+B45+B79)</f>
        <v>368.295</v>
      </c>
      <c r="E126" s="369">
        <f>SUM(D9+C45+C79)</f>
        <v>84.57</v>
      </c>
    </row>
    <row r="127" spans="1:5" ht="12.75">
      <c r="A127" s="295" t="s">
        <v>410</v>
      </c>
      <c r="C127" s="491">
        <v>1843.14</v>
      </c>
      <c r="D127" s="491">
        <v>1843.14</v>
      </c>
      <c r="E127" s="491">
        <v>2148.15</v>
      </c>
    </row>
    <row r="128" spans="1:5" ht="12.75">
      <c r="A128" s="295" t="s">
        <v>409</v>
      </c>
      <c r="C128" s="382">
        <f>C127*C126</f>
        <v>0</v>
      </c>
      <c r="D128" s="382">
        <f>D127*D126</f>
        <v>678819.25</v>
      </c>
      <c r="E128" s="382">
        <f>E127*E126</f>
        <v>181669.05</v>
      </c>
    </row>
    <row r="130" spans="1:3" ht="12.75">
      <c r="A130" s="295" t="s">
        <v>411</v>
      </c>
      <c r="C130" s="385">
        <f>C128+D128+E128</f>
        <v>860488.3</v>
      </c>
    </row>
    <row r="132" ht="12.75">
      <c r="A132" s="375" t="s">
        <v>412</v>
      </c>
    </row>
    <row r="133" spans="1:3" ht="12.75">
      <c r="A133" s="295" t="s">
        <v>408</v>
      </c>
      <c r="C133" s="382">
        <f>C123</f>
        <v>2672562.67</v>
      </c>
    </row>
    <row r="134" spans="1:3" ht="12.75">
      <c r="A134" s="295" t="s">
        <v>411</v>
      </c>
      <c r="C134" s="384">
        <f>C130</f>
        <v>860488.3</v>
      </c>
    </row>
    <row r="135" spans="1:4" ht="12.75">
      <c r="A135" s="311" t="s">
        <v>413</v>
      </c>
      <c r="C135" s="385">
        <f>C133+C134</f>
        <v>3533050.97</v>
      </c>
      <c r="D135" s="295" t="s">
        <v>533</v>
      </c>
    </row>
    <row r="136" spans="4:6" ht="12.75">
      <c r="D136" s="328" t="s">
        <v>534</v>
      </c>
      <c r="E136" s="518" t="s">
        <v>530</v>
      </c>
      <c r="F136" s="383" t="s">
        <v>532</v>
      </c>
    </row>
    <row r="167" ht="30.75" customHeight="1"/>
    <row r="190" spans="1:10" ht="12.75">
      <c r="A190" s="311"/>
      <c r="B190" s="328"/>
      <c r="C190" s="380"/>
      <c r="D190" s="380"/>
      <c r="F190" s="328"/>
      <c r="G190" s="380"/>
      <c r="H190" s="380"/>
      <c r="I190" s="328"/>
      <c r="J190" s="381"/>
    </row>
  </sheetData>
  <sheetProtection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189" customWidth="1"/>
    <col min="2" max="2" width="23.28125" style="191" customWidth="1"/>
    <col min="3" max="3" width="88.7109375" style="190" customWidth="1"/>
    <col min="4" max="4" width="8.8515625" style="190" customWidth="1"/>
  </cols>
  <sheetData>
    <row r="1" spans="1:4" ht="21.75" customHeight="1">
      <c r="A1" s="188" t="s">
        <v>219</v>
      </c>
      <c r="B1" s="188" t="s">
        <v>220</v>
      </c>
      <c r="C1" s="194" t="s">
        <v>235</v>
      </c>
      <c r="D1" s="188"/>
    </row>
    <row r="2" spans="1:6" ht="234" customHeight="1">
      <c r="A2" s="206" t="s">
        <v>222</v>
      </c>
      <c r="B2" s="195" t="s">
        <v>221</v>
      </c>
      <c r="C2" s="224" t="s">
        <v>513</v>
      </c>
      <c r="F2" s="190"/>
    </row>
    <row r="3" spans="1:3" ht="44.25" customHeight="1">
      <c r="A3" s="206" t="s">
        <v>222</v>
      </c>
      <c r="B3" s="195" t="s">
        <v>190</v>
      </c>
      <c r="C3" s="224" t="s">
        <v>246</v>
      </c>
    </row>
    <row r="4" spans="1:3" ht="97.5" customHeight="1">
      <c r="A4" s="206" t="s">
        <v>222</v>
      </c>
      <c r="B4" s="195" t="s">
        <v>79</v>
      </c>
      <c r="C4" s="224" t="s">
        <v>256</v>
      </c>
    </row>
    <row r="5" spans="1:3" ht="37.5" customHeight="1">
      <c r="A5" s="206" t="s">
        <v>222</v>
      </c>
      <c r="B5" s="195" t="s">
        <v>238</v>
      </c>
      <c r="C5" s="224" t="s">
        <v>514</v>
      </c>
    </row>
    <row r="6" spans="1:3" ht="122.25" customHeight="1">
      <c r="A6" s="206" t="s">
        <v>222</v>
      </c>
      <c r="B6" s="195" t="s">
        <v>326</v>
      </c>
      <c r="C6" s="224" t="s">
        <v>515</v>
      </c>
    </row>
    <row r="7" spans="1:3" ht="31.5" customHeight="1">
      <c r="A7" s="264" t="s">
        <v>324</v>
      </c>
      <c r="B7" s="195" t="s">
        <v>324</v>
      </c>
      <c r="C7" s="224" t="s">
        <v>325</v>
      </c>
    </row>
    <row r="8" spans="1:3" ht="50.25" customHeight="1">
      <c r="A8" s="206">
        <v>1</v>
      </c>
      <c r="B8" s="195" t="s">
        <v>221</v>
      </c>
      <c r="C8" s="224" t="s">
        <v>516</v>
      </c>
    </row>
    <row r="9" spans="1:3" ht="66" customHeight="1">
      <c r="A9" s="206">
        <v>1</v>
      </c>
      <c r="B9" s="195" t="s">
        <v>266</v>
      </c>
      <c r="C9" s="224" t="s">
        <v>267</v>
      </c>
    </row>
    <row r="10" spans="1:3" ht="60.75" customHeight="1">
      <c r="A10" s="206">
        <v>1</v>
      </c>
      <c r="B10" s="195" t="s">
        <v>234</v>
      </c>
      <c r="C10" s="224" t="s">
        <v>283</v>
      </c>
    </row>
    <row r="11" spans="1:3" ht="17.25" customHeight="1">
      <c r="A11" s="206"/>
      <c r="B11" s="195"/>
      <c r="C11" s="252" t="s">
        <v>284</v>
      </c>
    </row>
    <row r="12" spans="1:3" ht="49.5" customHeight="1">
      <c r="A12" s="206">
        <v>1</v>
      </c>
      <c r="B12" s="195" t="s">
        <v>268</v>
      </c>
      <c r="C12" s="224" t="s">
        <v>269</v>
      </c>
    </row>
    <row r="13" spans="1:3" ht="55.5" customHeight="1">
      <c r="A13" s="206">
        <v>1</v>
      </c>
      <c r="B13" s="195" t="s">
        <v>233</v>
      </c>
      <c r="C13" s="490" t="s">
        <v>517</v>
      </c>
    </row>
    <row r="14" spans="1:3" ht="91.5" customHeight="1">
      <c r="A14" s="206">
        <v>2</v>
      </c>
      <c r="B14" s="195" t="s">
        <v>239</v>
      </c>
      <c r="C14" s="224" t="s">
        <v>273</v>
      </c>
    </row>
    <row r="15" spans="1:3" ht="133.5" customHeight="1">
      <c r="A15" s="206">
        <v>2</v>
      </c>
      <c r="B15" s="195" t="s">
        <v>276</v>
      </c>
      <c r="C15" s="224" t="s">
        <v>523</v>
      </c>
    </row>
    <row r="16" spans="1:3" ht="102" customHeight="1">
      <c r="A16" s="206">
        <v>2</v>
      </c>
      <c r="B16" s="195" t="s">
        <v>277</v>
      </c>
      <c r="C16" s="224" t="s">
        <v>529</v>
      </c>
    </row>
    <row r="17" spans="1:3" ht="102" customHeight="1">
      <c r="A17" s="206">
        <v>2</v>
      </c>
      <c r="B17" s="195" t="s">
        <v>209</v>
      </c>
      <c r="C17" s="224" t="s">
        <v>237</v>
      </c>
    </row>
    <row r="18" spans="1:3" ht="66" customHeight="1">
      <c r="A18" s="206">
        <v>2</v>
      </c>
      <c r="B18" s="195" t="s">
        <v>224</v>
      </c>
      <c r="C18" s="224" t="s">
        <v>270</v>
      </c>
    </row>
    <row r="19" spans="1:3" ht="49.5" customHeight="1">
      <c r="A19" s="206">
        <v>2</v>
      </c>
      <c r="B19" s="195" t="s">
        <v>264</v>
      </c>
      <c r="C19" s="224" t="s">
        <v>263</v>
      </c>
    </row>
    <row r="20" spans="1:3" ht="56.25" customHeight="1">
      <c r="A20" s="206">
        <v>2</v>
      </c>
      <c r="B20" s="195" t="s">
        <v>260</v>
      </c>
      <c r="C20" s="224" t="s">
        <v>244</v>
      </c>
    </row>
    <row r="21" spans="1:3" ht="75" customHeight="1">
      <c r="A21" s="206">
        <v>2</v>
      </c>
      <c r="B21" s="195" t="s">
        <v>225</v>
      </c>
      <c r="C21" s="224" t="s">
        <v>271</v>
      </c>
    </row>
    <row r="22" spans="1:3" ht="116.25" customHeight="1">
      <c r="A22" s="206">
        <v>2</v>
      </c>
      <c r="B22" s="195" t="s">
        <v>223</v>
      </c>
      <c r="C22" s="224" t="s">
        <v>518</v>
      </c>
    </row>
    <row r="23" spans="1:3" ht="59.25" customHeight="1">
      <c r="A23" s="206">
        <v>2</v>
      </c>
      <c r="B23" s="195" t="s">
        <v>227</v>
      </c>
      <c r="C23" s="224" t="s">
        <v>226</v>
      </c>
    </row>
    <row r="24" spans="1:3" ht="48" customHeight="1">
      <c r="A24" s="206">
        <v>2</v>
      </c>
      <c r="B24" s="195" t="s">
        <v>232</v>
      </c>
      <c r="C24" s="224" t="s">
        <v>236</v>
      </c>
    </row>
    <row r="25" spans="1:3" ht="124.5" customHeight="1">
      <c r="A25" s="206">
        <v>3</v>
      </c>
      <c r="B25" s="195" t="s">
        <v>229</v>
      </c>
      <c r="C25" s="490" t="s">
        <v>522</v>
      </c>
    </row>
    <row r="26" spans="1:3" ht="63.75" customHeight="1">
      <c r="A26" s="206">
        <v>4</v>
      </c>
      <c r="B26" s="195" t="s">
        <v>519</v>
      </c>
      <c r="C26" s="490" t="s">
        <v>520</v>
      </c>
    </row>
    <row r="27" spans="1:3" ht="66" customHeight="1">
      <c r="A27" s="206">
        <v>4</v>
      </c>
      <c r="B27" s="195" t="s">
        <v>228</v>
      </c>
      <c r="C27" s="490" t="s">
        <v>521</v>
      </c>
    </row>
    <row r="28" spans="1:3" ht="45" customHeight="1">
      <c r="A28" s="219" t="s">
        <v>240</v>
      </c>
      <c r="B28" s="195" t="s">
        <v>221</v>
      </c>
      <c r="C28" s="224" t="s">
        <v>241</v>
      </c>
    </row>
  </sheetData>
  <sheetProtection/>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R33" sqref="R33"/>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58" customWidth="1"/>
  </cols>
  <sheetData>
    <row r="1" spans="1:8" ht="12.75">
      <c r="A1" t="s">
        <v>0</v>
      </c>
      <c r="B1" s="599" t="str">
        <f>Cover!D1</f>
        <v>Edkey, Inc.</v>
      </c>
      <c r="C1" s="599"/>
      <c r="E1" s="260" t="s">
        <v>310</v>
      </c>
      <c r="F1" s="259" t="str">
        <f>Cover!M1</f>
        <v>Yavapia</v>
      </c>
      <c r="G1" s="260" t="s">
        <v>311</v>
      </c>
      <c r="H1" s="272" t="str">
        <f>[0]!CTD</f>
        <v>138754000</v>
      </c>
    </row>
    <row r="2" spans="2:8" ht="12.75">
      <c r="B2" s="263"/>
      <c r="C2" s="263"/>
      <c r="E2" s="260"/>
      <c r="F2" s="261"/>
      <c r="G2" s="260"/>
      <c r="H2" s="42"/>
    </row>
    <row r="3" spans="2:8" ht="12.75">
      <c r="B3" s="263"/>
      <c r="C3" s="263"/>
      <c r="E3" s="260"/>
      <c r="F3" s="261"/>
      <c r="G3" s="260"/>
      <c r="H3" s="42"/>
    </row>
    <row r="4" spans="2:8" ht="12.75">
      <c r="B4" s="263"/>
      <c r="C4" s="600" t="s">
        <v>322</v>
      </c>
      <c r="D4" s="600"/>
      <c r="E4" s="600"/>
      <c r="F4" s="600"/>
      <c r="G4" s="600"/>
      <c r="H4" s="600"/>
    </row>
    <row r="5" ht="12.75">
      <c r="Z5" s="258" t="s">
        <v>308</v>
      </c>
    </row>
    <row r="6" spans="3:26" ht="12.75">
      <c r="C6" s="270" t="s">
        <v>291</v>
      </c>
      <c r="D6" s="270" t="s">
        <v>292</v>
      </c>
      <c r="E6" s="270" t="s">
        <v>293</v>
      </c>
      <c r="F6" s="270" t="s">
        <v>294</v>
      </c>
      <c r="G6" s="270" t="s">
        <v>329</v>
      </c>
      <c r="H6" s="270" t="s">
        <v>295</v>
      </c>
      <c r="Z6" s="258" t="s">
        <v>297</v>
      </c>
    </row>
    <row r="7" spans="1:26" ht="12.75">
      <c r="A7" s="596" t="s">
        <v>287</v>
      </c>
      <c r="B7" s="597"/>
      <c r="C7" s="262" t="s">
        <v>297</v>
      </c>
      <c r="D7" s="262" t="s">
        <v>543</v>
      </c>
      <c r="E7" s="262" t="s">
        <v>544</v>
      </c>
      <c r="F7" s="262"/>
      <c r="G7" s="520" t="s">
        <v>545</v>
      </c>
      <c r="H7" s="269">
        <v>4804613200</v>
      </c>
      <c r="Z7" s="258" t="s">
        <v>296</v>
      </c>
    </row>
    <row r="8" spans="1:26" ht="12.75">
      <c r="A8" s="596" t="s">
        <v>287</v>
      </c>
      <c r="B8" s="597"/>
      <c r="C8" s="262"/>
      <c r="D8" s="262"/>
      <c r="E8" s="262"/>
      <c r="F8" s="262"/>
      <c r="G8" s="521"/>
      <c r="H8" s="269"/>
      <c r="Z8" s="258" t="s">
        <v>298</v>
      </c>
    </row>
    <row r="9" spans="1:26" ht="12.75">
      <c r="A9" s="596" t="s">
        <v>288</v>
      </c>
      <c r="B9" s="597"/>
      <c r="C9" s="262" t="s">
        <v>298</v>
      </c>
      <c r="D9" s="262" t="s">
        <v>546</v>
      </c>
      <c r="E9" s="262" t="s">
        <v>547</v>
      </c>
      <c r="F9" s="262"/>
      <c r="G9" s="522" t="s">
        <v>548</v>
      </c>
      <c r="H9" s="269">
        <v>4804613200</v>
      </c>
      <c r="Z9" s="265" t="s">
        <v>299</v>
      </c>
    </row>
    <row r="10" spans="1:8" ht="12.75">
      <c r="A10" s="596" t="s">
        <v>286</v>
      </c>
      <c r="B10" s="597"/>
      <c r="C10" s="262" t="s">
        <v>297</v>
      </c>
      <c r="D10" s="262" t="s">
        <v>549</v>
      </c>
      <c r="E10" s="262" t="s">
        <v>550</v>
      </c>
      <c r="F10" s="262"/>
      <c r="G10" s="522" t="s">
        <v>551</v>
      </c>
      <c r="H10" s="269">
        <v>4804613200</v>
      </c>
    </row>
    <row r="11" spans="1:26" ht="12.75">
      <c r="A11" s="596" t="s">
        <v>285</v>
      </c>
      <c r="B11" s="597"/>
      <c r="C11" s="262" t="s">
        <v>298</v>
      </c>
      <c r="D11" s="262" t="s">
        <v>552</v>
      </c>
      <c r="E11" s="262" t="s">
        <v>553</v>
      </c>
      <c r="F11" s="262"/>
      <c r="G11" s="522" t="s">
        <v>554</v>
      </c>
      <c r="H11" s="269" t="s">
        <v>555</v>
      </c>
      <c r="W11" s="84"/>
      <c r="Z11" s="258" t="s">
        <v>309</v>
      </c>
    </row>
    <row r="12" spans="1:26" ht="12.75">
      <c r="A12" s="596" t="s">
        <v>290</v>
      </c>
      <c r="B12" s="597"/>
      <c r="C12" s="262" t="s">
        <v>298</v>
      </c>
      <c r="D12" s="262" t="s">
        <v>556</v>
      </c>
      <c r="E12" s="262" t="s">
        <v>557</v>
      </c>
      <c r="F12" s="262"/>
      <c r="G12" s="522" t="s">
        <v>558</v>
      </c>
      <c r="H12" s="269">
        <v>4804613200</v>
      </c>
      <c r="W12" s="84"/>
      <c r="Z12" s="258" t="s">
        <v>304</v>
      </c>
    </row>
    <row r="13" spans="1:26" ht="12.75">
      <c r="A13" s="596" t="s">
        <v>289</v>
      </c>
      <c r="B13" s="597"/>
      <c r="C13" s="534" t="s">
        <v>298</v>
      </c>
      <c r="D13" s="534" t="s">
        <v>563</v>
      </c>
      <c r="E13" s="534" t="s">
        <v>564</v>
      </c>
      <c r="F13" s="534"/>
      <c r="G13" s="535" t="s">
        <v>565</v>
      </c>
      <c r="H13" s="536">
        <v>4804613200</v>
      </c>
      <c r="W13" s="84"/>
      <c r="Z13" s="258" t="s">
        <v>306</v>
      </c>
    </row>
    <row r="14" spans="1:26" ht="12.75">
      <c r="A14" s="596" t="s">
        <v>289</v>
      </c>
      <c r="B14" s="597"/>
      <c r="C14" s="534" t="s">
        <v>298</v>
      </c>
      <c r="D14" s="534" t="s">
        <v>559</v>
      </c>
      <c r="E14" s="534" t="s">
        <v>560</v>
      </c>
      <c r="F14" s="534"/>
      <c r="G14" s="522" t="s">
        <v>561</v>
      </c>
      <c r="H14" s="536">
        <v>9286342144</v>
      </c>
      <c r="W14" s="84"/>
      <c r="Z14" s="258" t="s">
        <v>300</v>
      </c>
    </row>
    <row r="15" spans="1:26" ht="12.75">
      <c r="A15" s="596" t="s">
        <v>289</v>
      </c>
      <c r="B15" s="597"/>
      <c r="C15" s="534" t="s">
        <v>298</v>
      </c>
      <c r="D15" s="534" t="s">
        <v>566</v>
      </c>
      <c r="E15" s="534" t="s">
        <v>567</v>
      </c>
      <c r="F15" s="534"/>
      <c r="G15" s="535" t="s">
        <v>568</v>
      </c>
      <c r="H15" s="536">
        <v>4804613200</v>
      </c>
      <c r="W15" s="84"/>
      <c r="Z15" s="258" t="s">
        <v>305</v>
      </c>
    </row>
    <row r="16" spans="1:26" ht="12.75">
      <c r="A16" s="596" t="s">
        <v>289</v>
      </c>
      <c r="B16" s="597"/>
      <c r="C16" s="534" t="s">
        <v>297</v>
      </c>
      <c r="D16" s="534" t="s">
        <v>569</v>
      </c>
      <c r="E16" s="534" t="s">
        <v>570</v>
      </c>
      <c r="F16" s="534"/>
      <c r="G16" s="535" t="s">
        <v>571</v>
      </c>
      <c r="H16" s="536">
        <v>4804613200</v>
      </c>
      <c r="W16" s="84"/>
      <c r="Z16" s="258" t="s">
        <v>307</v>
      </c>
    </row>
    <row r="17" spans="1:26" ht="12.75">
      <c r="A17" s="596" t="s">
        <v>289</v>
      </c>
      <c r="B17" s="597"/>
      <c r="C17" s="534"/>
      <c r="D17" s="534"/>
      <c r="E17" s="534"/>
      <c r="F17" s="534"/>
      <c r="G17" s="522"/>
      <c r="H17" s="536"/>
      <c r="W17" s="84"/>
      <c r="Z17" s="258" t="s">
        <v>301</v>
      </c>
    </row>
    <row r="18" spans="1:26" ht="12.75">
      <c r="A18" s="596" t="s">
        <v>289</v>
      </c>
      <c r="B18" s="597"/>
      <c r="C18" s="262"/>
      <c r="D18" s="262"/>
      <c r="E18" s="262"/>
      <c r="F18" s="262"/>
      <c r="G18" s="271"/>
      <c r="H18" s="269"/>
      <c r="W18" s="84"/>
      <c r="Z18" s="258" t="s">
        <v>302</v>
      </c>
    </row>
    <row r="19" spans="1:26" ht="12.75">
      <c r="A19" s="596" t="s">
        <v>289</v>
      </c>
      <c r="B19" s="597"/>
      <c r="C19" s="262"/>
      <c r="D19" s="262"/>
      <c r="E19" s="262"/>
      <c r="F19" s="262"/>
      <c r="G19" s="271"/>
      <c r="H19" s="269"/>
      <c r="W19" s="84"/>
      <c r="Z19" s="258" t="s">
        <v>303</v>
      </c>
    </row>
    <row r="20" spans="1:23" ht="12.75">
      <c r="A20" s="596" t="s">
        <v>289</v>
      </c>
      <c r="B20" s="597"/>
      <c r="C20" s="262"/>
      <c r="D20" s="262"/>
      <c r="E20" s="262"/>
      <c r="F20" s="262"/>
      <c r="G20" s="271"/>
      <c r="H20" s="269"/>
      <c r="W20" s="84"/>
    </row>
    <row r="21" spans="1:23" ht="12.75">
      <c r="A21" s="596" t="s">
        <v>289</v>
      </c>
      <c r="B21" s="597"/>
      <c r="C21" s="262"/>
      <c r="D21" s="262"/>
      <c r="E21" s="262"/>
      <c r="F21" s="262"/>
      <c r="G21" s="271"/>
      <c r="H21" s="269"/>
      <c r="W21" s="84"/>
    </row>
    <row r="22" spans="1:26" ht="12.75">
      <c r="A22" s="84"/>
      <c r="B22" s="84"/>
      <c r="W22" s="84"/>
      <c r="Z22" s="265" t="s">
        <v>312</v>
      </c>
    </row>
    <row r="23" spans="1:26" ht="12.75">
      <c r="A23" s="84"/>
      <c r="B23" s="84"/>
      <c r="C23" s="598" t="s">
        <v>460</v>
      </c>
      <c r="D23" s="598"/>
      <c r="Z23" s="265" t="s">
        <v>313</v>
      </c>
    </row>
    <row r="24" spans="1:26" ht="12.75">
      <c r="A24" s="596" t="s">
        <v>323</v>
      </c>
      <c r="B24" s="597"/>
      <c r="C24" s="604" t="s">
        <v>318</v>
      </c>
      <c r="D24" s="605"/>
      <c r="Z24" s="265" t="s">
        <v>314</v>
      </c>
    </row>
    <row r="25" spans="1:26" ht="12.75">
      <c r="A25" s="84"/>
      <c r="B25" s="84"/>
      <c r="Z25" s="265" t="s">
        <v>315</v>
      </c>
    </row>
    <row r="26" spans="1:26" ht="12.75">
      <c r="A26" s="554" t="s">
        <v>459</v>
      </c>
      <c r="B26" s="603"/>
      <c r="C26" s="601" t="s">
        <v>562</v>
      </c>
      <c r="D26" s="602"/>
      <c r="Z26" s="265" t="s">
        <v>316</v>
      </c>
    </row>
    <row r="27" ht="12.75">
      <c r="Z27" s="265" t="s">
        <v>317</v>
      </c>
    </row>
    <row r="28" ht="12.75">
      <c r="Z28" s="265" t="s">
        <v>318</v>
      </c>
    </row>
    <row r="29" ht="12.75">
      <c r="Z29" s="265" t="s">
        <v>319</v>
      </c>
    </row>
    <row r="30" spans="1:26" ht="14.25">
      <c r="A30" s="257"/>
      <c r="B30" s="257"/>
      <c r="Z30" s="265" t="s">
        <v>320</v>
      </c>
    </row>
    <row r="31" spans="1:26" ht="12.75">
      <c r="A31" s="84"/>
      <c r="B31" s="84"/>
      <c r="Z31" s="265" t="s">
        <v>321</v>
      </c>
    </row>
    <row r="32" spans="1:26" ht="12.75">
      <c r="A32" s="84"/>
      <c r="B32" s="84"/>
      <c r="Z32" s="265"/>
    </row>
    <row r="33" spans="1:2" ht="12.75">
      <c r="A33" s="84"/>
      <c r="B33" s="84"/>
    </row>
    <row r="34" spans="1:3" ht="14.25">
      <c r="A34" s="595"/>
      <c r="B34" s="595"/>
      <c r="C34" s="84"/>
    </row>
    <row r="35" spans="2:3" ht="12.75">
      <c r="B35" s="84"/>
      <c r="C35" s="84"/>
    </row>
    <row r="36" spans="2:3" ht="12.75">
      <c r="B36" s="84"/>
      <c r="C36" s="84"/>
    </row>
    <row r="37" spans="1:3" ht="14.25">
      <c r="A37" s="257"/>
      <c r="B37" s="257"/>
      <c r="C37" s="84"/>
    </row>
    <row r="38" spans="1:3" ht="12.75">
      <c r="A38" s="84"/>
      <c r="B38" s="84"/>
      <c r="C38" s="84"/>
    </row>
    <row r="39" spans="1:3" ht="14.25">
      <c r="A39" s="84"/>
      <c r="B39" s="257"/>
      <c r="C39" s="84"/>
    </row>
    <row r="40" spans="1:3" ht="12.75">
      <c r="A40" s="84"/>
      <c r="B40" s="84"/>
      <c r="C40" s="84"/>
    </row>
    <row r="41" spans="1:3" ht="12.75">
      <c r="A41" s="84"/>
      <c r="B41" s="84"/>
      <c r="C41" s="84"/>
    </row>
    <row r="42" spans="1:3" ht="12.75">
      <c r="A42" s="84"/>
      <c r="B42" s="84"/>
      <c r="C42" s="84"/>
    </row>
    <row r="43" spans="1:2" ht="12.75">
      <c r="A43" s="84"/>
      <c r="B43" s="84"/>
    </row>
    <row r="44" spans="1:2" ht="12.75">
      <c r="A44" s="84"/>
      <c r="B44" s="84"/>
    </row>
    <row r="45" spans="1:2" ht="14.25">
      <c r="A45" s="84"/>
      <c r="B45" s="257"/>
    </row>
  </sheetData>
  <sheetProtection/>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 ref="G13" r:id="rId1" display="mdamiani@edkey.org"/>
    <hyperlink ref="G15" r:id="rId2" display="aallen@edkey.org"/>
    <hyperlink ref="G16" r:id="rId3" display="dcooper@edkey.org"/>
  </hyperlinks>
  <printOptions/>
  <pageMargins left="0.7" right="0.7" top="0.75" bottom="0.75" header="0.3" footer="0.3"/>
  <pageSetup horizontalDpi="600" verticalDpi="600" orientation="landscape" paperSize="5" scale="73" r:id="rId5"/>
  <headerFooter>
    <oddFooter>&amp;L&amp;"Arial,Bold"Rev. 5/19 Arizona Department of Education and Auditor General&amp;R&amp;"Arial,Bold"Charter Contact Info</oddFooter>
  </headerFooter>
  <drawing r:id="rId4"/>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9">
      <selection activeCell="R33" sqref="R33"/>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606" t="str">
        <f>Cover!D1</f>
        <v>Edkey, Inc.</v>
      </c>
      <c r="E1" s="606"/>
      <c r="F1" s="606"/>
      <c r="H1" s="39" t="s">
        <v>53</v>
      </c>
      <c r="I1" s="607" t="str">
        <f>Cover!M1</f>
        <v>Yavapia</v>
      </c>
      <c r="J1" s="607"/>
      <c r="L1" s="39" t="s">
        <v>89</v>
      </c>
      <c r="M1" s="608" t="str">
        <f>Cover!R1</f>
        <v>138754000</v>
      </c>
      <c r="N1" s="608"/>
    </row>
    <row r="2" spans="1:13" ht="3.75" customHeight="1">
      <c r="A2" s="91"/>
      <c r="B2" s="91"/>
      <c r="C2" s="91"/>
      <c r="D2" s="91"/>
      <c r="E2" s="91"/>
      <c r="F2" s="91"/>
      <c r="G2" s="91"/>
      <c r="H2" s="91"/>
      <c r="I2" s="91"/>
      <c r="J2" s="26"/>
      <c r="K2" s="26"/>
      <c r="L2" s="26"/>
      <c r="M2" s="26"/>
    </row>
    <row r="3" spans="2:14" ht="12" customHeight="1">
      <c r="B3" s="196"/>
      <c r="F3" s="60"/>
      <c r="H3" s="60" t="s">
        <v>14</v>
      </c>
      <c r="I3" s="60"/>
      <c r="J3" s="60"/>
      <c r="K3" s="55" t="s">
        <v>61</v>
      </c>
      <c r="L3" s="56"/>
      <c r="M3" s="72"/>
      <c r="N3" s="92"/>
    </row>
    <row r="4" spans="1:14" ht="12" customHeight="1">
      <c r="A4" s="12" t="s">
        <v>12</v>
      </c>
      <c r="D4" s="609"/>
      <c r="F4" s="61"/>
      <c r="G4" s="207" t="s">
        <v>13</v>
      </c>
      <c r="H4" s="60" t="s">
        <v>17</v>
      </c>
      <c r="J4" s="61"/>
      <c r="K4" s="220" t="s">
        <v>242</v>
      </c>
      <c r="L4" s="60" t="s">
        <v>62</v>
      </c>
      <c r="M4" s="73" t="s">
        <v>63</v>
      </c>
      <c r="N4" s="92"/>
    </row>
    <row r="5" spans="4:14" ht="12" customHeight="1">
      <c r="D5" s="609"/>
      <c r="F5" s="60" t="s">
        <v>15</v>
      </c>
      <c r="G5" s="207" t="s">
        <v>16</v>
      </c>
      <c r="H5" s="60" t="s">
        <v>20</v>
      </c>
      <c r="I5" s="60" t="s">
        <v>18</v>
      </c>
      <c r="J5" s="60" t="s">
        <v>19</v>
      </c>
      <c r="K5" s="60" t="s">
        <v>54</v>
      </c>
      <c r="L5" s="60" t="s">
        <v>54</v>
      </c>
      <c r="M5" s="73" t="s">
        <v>64</v>
      </c>
      <c r="N5" s="92"/>
    </row>
    <row r="6" spans="1:14" ht="12" customHeight="1">
      <c r="A6" s="26" t="s">
        <v>11</v>
      </c>
      <c r="B6" s="26"/>
      <c r="C6" s="26"/>
      <c r="D6" s="26"/>
      <c r="E6" s="26"/>
      <c r="F6" s="63">
        <v>6100</v>
      </c>
      <c r="G6" s="63">
        <v>6200</v>
      </c>
      <c r="H6" s="63">
        <v>6500</v>
      </c>
      <c r="I6" s="63">
        <v>6600</v>
      </c>
      <c r="J6" s="63">
        <v>6800</v>
      </c>
      <c r="K6" s="220">
        <v>2019</v>
      </c>
      <c r="L6" s="509">
        <v>2020</v>
      </c>
      <c r="M6" s="73" t="s">
        <v>65</v>
      </c>
      <c r="N6" s="92"/>
    </row>
    <row r="7" spans="1:13" ht="12" customHeight="1">
      <c r="A7" s="12" t="s">
        <v>21</v>
      </c>
      <c r="F7" s="96"/>
      <c r="G7" s="96"/>
      <c r="H7" s="96"/>
      <c r="I7" s="96"/>
      <c r="J7" s="98"/>
      <c r="K7" s="1"/>
      <c r="L7" s="1"/>
      <c r="M7" s="53"/>
    </row>
    <row r="8" spans="2:14" ht="12" customHeight="1">
      <c r="B8" s="12" t="s">
        <v>22</v>
      </c>
      <c r="E8" s="3">
        <v>1</v>
      </c>
      <c r="F8" s="20">
        <f>1088379-19000-9000</f>
        <v>1060379</v>
      </c>
      <c r="G8" s="20">
        <f>345435-3889-1500</f>
        <v>340046</v>
      </c>
      <c r="H8" s="20">
        <v>27160</v>
      </c>
      <c r="I8" s="20">
        <v>23342</v>
      </c>
      <c r="J8" s="129">
        <v>850</v>
      </c>
      <c r="K8" s="131">
        <f>[1]!SP1000P100F1000</f>
        <v>1416281</v>
      </c>
      <c r="L8" s="132">
        <f>SUM(F8:J8)</f>
        <v>1451777</v>
      </c>
      <c r="M8" s="125">
        <f>IF(K8=0," ",(L8-K8)/K8)</f>
        <v>0.025</v>
      </c>
      <c r="N8" s="2">
        <v>1</v>
      </c>
    </row>
    <row r="9" spans="2:14" ht="12" customHeight="1">
      <c r="B9" s="12" t="s">
        <v>23</v>
      </c>
      <c r="E9" s="3"/>
      <c r="F9" s="96"/>
      <c r="G9" s="96"/>
      <c r="H9" s="96"/>
      <c r="I9" s="96"/>
      <c r="J9" s="98"/>
      <c r="K9" s="53"/>
      <c r="L9" s="53"/>
      <c r="M9" s="53"/>
      <c r="N9" s="2"/>
    </row>
    <row r="10" spans="2:14" ht="12" customHeight="1">
      <c r="B10" s="12" t="s">
        <v>129</v>
      </c>
      <c r="E10" s="3">
        <v>2</v>
      </c>
      <c r="F10" s="20"/>
      <c r="G10" s="20"/>
      <c r="H10" s="20"/>
      <c r="I10" s="20"/>
      <c r="J10" s="129"/>
      <c r="K10" s="20">
        <f>[1]!SP1000P100F2100</f>
        <v>0</v>
      </c>
      <c r="L10" s="6">
        <f>SUM(F10:J10)</f>
        <v>0</v>
      </c>
      <c r="M10" s="10" t="str">
        <f>IF(K10=0," ",(L10-K10)/K10)</f>
        <v> </v>
      </c>
      <c r="N10" s="2">
        <v>2</v>
      </c>
    </row>
    <row r="11" spans="2:14" ht="12" customHeight="1">
      <c r="B11" s="12" t="s">
        <v>147</v>
      </c>
      <c r="E11" s="3">
        <v>3</v>
      </c>
      <c r="F11" s="20"/>
      <c r="G11" s="20"/>
      <c r="H11" s="20"/>
      <c r="I11" s="20"/>
      <c r="J11" s="20"/>
      <c r="K11" s="20">
        <f>[1]!SP1000P100F2200</f>
        <v>0</v>
      </c>
      <c r="L11" s="6">
        <f aca="true" t="shared" si="0" ref="L11:L23">SUM(F11:J11)</f>
        <v>0</v>
      </c>
      <c r="M11" s="10" t="str">
        <f aca="true" t="shared" si="1" ref="M11:M23">IF(K11=0," ",(L11-K11)/K11)</f>
        <v> </v>
      </c>
      <c r="N11" s="67">
        <v>3</v>
      </c>
    </row>
    <row r="12" spans="2:14" ht="12" customHeight="1">
      <c r="B12" s="12" t="s">
        <v>24</v>
      </c>
      <c r="E12" s="3">
        <v>4</v>
      </c>
      <c r="F12" s="20"/>
      <c r="G12" s="20"/>
      <c r="H12" s="20">
        <v>306211</v>
      </c>
      <c r="I12" s="20"/>
      <c r="J12" s="20"/>
      <c r="K12" s="21">
        <f>[1]!SP1000P100F2300</f>
        <v>292300</v>
      </c>
      <c r="L12" s="6">
        <f t="shared" si="0"/>
        <v>306211</v>
      </c>
      <c r="M12" s="10">
        <f t="shared" si="1"/>
        <v>0.048</v>
      </c>
      <c r="N12" s="67">
        <v>4</v>
      </c>
    </row>
    <row r="13" spans="2:14" ht="12" customHeight="1">
      <c r="B13" s="12" t="s">
        <v>25</v>
      </c>
      <c r="E13" s="3">
        <v>5</v>
      </c>
      <c r="F13" s="20">
        <v>234960</v>
      </c>
      <c r="G13" s="20">
        <v>70756</v>
      </c>
      <c r="H13" s="20">
        <v>20964</v>
      </c>
      <c r="I13" s="20">
        <v>14750</v>
      </c>
      <c r="J13" s="20">
        <v>2400</v>
      </c>
      <c r="K13" s="21">
        <f>[1]!SP1000P100F2400</f>
        <v>356618</v>
      </c>
      <c r="L13" s="6">
        <f t="shared" si="0"/>
        <v>343830</v>
      </c>
      <c r="M13" s="10">
        <f t="shared" si="1"/>
        <v>-0.036</v>
      </c>
      <c r="N13" s="67">
        <v>5</v>
      </c>
    </row>
    <row r="14" spans="2:14" ht="12" customHeight="1">
      <c r="B14" s="12" t="s">
        <v>148</v>
      </c>
      <c r="E14" s="3">
        <v>6</v>
      </c>
      <c r="F14" s="20"/>
      <c r="G14" s="20"/>
      <c r="H14" s="20">
        <v>68471</v>
      </c>
      <c r="I14" s="20"/>
      <c r="J14" s="20"/>
      <c r="K14" s="21">
        <f>[1]!SP1000P100F2500</f>
        <v>66950</v>
      </c>
      <c r="L14" s="6">
        <f>SUM(F14:J14)</f>
        <v>68471</v>
      </c>
      <c r="M14" s="10">
        <f t="shared" si="1"/>
        <v>0.023</v>
      </c>
      <c r="N14" s="67">
        <v>6</v>
      </c>
    </row>
    <row r="15" spans="2:14" ht="12" customHeight="1">
      <c r="B15" s="12" t="s">
        <v>149</v>
      </c>
      <c r="E15" s="3">
        <v>7</v>
      </c>
      <c r="F15" s="20">
        <v>61361</v>
      </c>
      <c r="G15" s="20">
        <v>25096</v>
      </c>
      <c r="H15" s="20">
        <v>204087</v>
      </c>
      <c r="I15" s="20">
        <v>77100</v>
      </c>
      <c r="J15" s="20">
        <v>1650</v>
      </c>
      <c r="K15" s="21">
        <f>[1]!SP1000P100F2600</f>
        <v>467616</v>
      </c>
      <c r="L15" s="6">
        <f t="shared" si="0"/>
        <v>369294</v>
      </c>
      <c r="M15" s="10">
        <f t="shared" si="1"/>
        <v>-0.21</v>
      </c>
      <c r="N15" s="67">
        <v>7</v>
      </c>
    </row>
    <row r="16" spans="2:14" ht="12" customHeight="1">
      <c r="B16" s="12" t="s">
        <v>75</v>
      </c>
      <c r="E16" s="3">
        <v>8</v>
      </c>
      <c r="F16" s="20"/>
      <c r="G16" s="20"/>
      <c r="H16" s="20"/>
      <c r="I16" s="20"/>
      <c r="J16" s="20"/>
      <c r="K16" s="21">
        <f>[1]!SP1000P100F2900</f>
        <v>0</v>
      </c>
      <c r="L16" s="6">
        <f t="shared" si="0"/>
        <v>0</v>
      </c>
      <c r="M16" s="10" t="str">
        <f t="shared" si="1"/>
        <v> </v>
      </c>
      <c r="N16" s="67">
        <v>8</v>
      </c>
    </row>
    <row r="17" spans="2:14" ht="12" customHeight="1">
      <c r="B17" s="12" t="s">
        <v>26</v>
      </c>
      <c r="E17" s="3">
        <v>9</v>
      </c>
      <c r="F17" s="20">
        <v>36990</v>
      </c>
      <c r="G17" s="20">
        <v>14761</v>
      </c>
      <c r="H17" s="20"/>
      <c r="I17" s="20">
        <v>109000</v>
      </c>
      <c r="J17" s="20"/>
      <c r="K17" s="21">
        <f>[1]!SP1000P100F3000</f>
        <v>157506</v>
      </c>
      <c r="L17" s="6">
        <f t="shared" si="0"/>
        <v>160751</v>
      </c>
      <c r="M17" s="10">
        <f t="shared" si="1"/>
        <v>0.021</v>
      </c>
      <c r="N17" s="67">
        <v>9</v>
      </c>
    </row>
    <row r="18" spans="2:14" ht="12" customHeight="1">
      <c r="B18" s="12" t="s">
        <v>150</v>
      </c>
      <c r="E18" s="3">
        <v>10</v>
      </c>
      <c r="F18" s="20"/>
      <c r="G18" s="20"/>
      <c r="H18" s="20"/>
      <c r="I18" s="20"/>
      <c r="J18" s="20"/>
      <c r="K18" s="21">
        <f>[1]!SP1000P100F4000</f>
        <v>0</v>
      </c>
      <c r="L18" s="6">
        <f t="shared" si="0"/>
        <v>0</v>
      </c>
      <c r="M18" s="10" t="str">
        <f t="shared" si="1"/>
        <v> </v>
      </c>
      <c r="N18" s="67">
        <v>10</v>
      </c>
    </row>
    <row r="19" spans="2:14" ht="12" customHeight="1">
      <c r="B19" s="12" t="s">
        <v>27</v>
      </c>
      <c r="E19" s="16">
        <v>11</v>
      </c>
      <c r="F19" s="93"/>
      <c r="G19" s="20"/>
      <c r="H19" s="20"/>
      <c r="I19" s="20"/>
      <c r="J19" s="20">
        <v>413684</v>
      </c>
      <c r="K19" s="21">
        <f>[1]!SP1000P100F5000</f>
        <v>413684</v>
      </c>
      <c r="L19" s="6">
        <f t="shared" si="0"/>
        <v>413684</v>
      </c>
      <c r="M19" s="10">
        <f t="shared" si="1"/>
        <v>0</v>
      </c>
      <c r="N19" s="67">
        <v>11</v>
      </c>
    </row>
    <row r="20" spans="1:14" ht="12" customHeight="1">
      <c r="A20" s="12" t="s">
        <v>76</v>
      </c>
      <c r="E20" s="16">
        <v>12</v>
      </c>
      <c r="F20" s="93"/>
      <c r="G20" s="20"/>
      <c r="H20" s="20"/>
      <c r="I20" s="20"/>
      <c r="J20" s="20"/>
      <c r="K20" s="20">
        <f>[1]!SP1000P610</f>
        <v>0</v>
      </c>
      <c r="L20" s="6">
        <f t="shared" si="0"/>
        <v>0</v>
      </c>
      <c r="M20" s="10" t="str">
        <f t="shared" si="1"/>
        <v> </v>
      </c>
      <c r="N20" s="67">
        <v>12</v>
      </c>
    </row>
    <row r="21" spans="1:14" ht="12" customHeight="1">
      <c r="A21" s="12" t="s">
        <v>78</v>
      </c>
      <c r="E21" s="16">
        <v>13</v>
      </c>
      <c r="F21" s="93"/>
      <c r="G21" s="20"/>
      <c r="H21" s="20"/>
      <c r="I21" s="20"/>
      <c r="J21" s="20"/>
      <c r="K21" s="20">
        <f>[1]!SP1000P620</f>
        <v>0</v>
      </c>
      <c r="L21" s="6">
        <f>SUM(F21:J21)</f>
        <v>0</v>
      </c>
      <c r="M21" s="10" t="str">
        <f t="shared" si="1"/>
        <v> </v>
      </c>
      <c r="N21" s="67">
        <v>13</v>
      </c>
    </row>
    <row r="22" spans="1:14" ht="12" customHeight="1">
      <c r="A22" s="12" t="s">
        <v>77</v>
      </c>
      <c r="E22" s="16">
        <v>14</v>
      </c>
      <c r="F22" s="93"/>
      <c r="G22" s="20"/>
      <c r="H22" s="20"/>
      <c r="I22" s="20">
        <v>2408</v>
      </c>
      <c r="J22" s="20"/>
      <c r="K22" s="20">
        <f>[1]!SP1000P630700800900</f>
        <v>2408</v>
      </c>
      <c r="L22" s="6">
        <f t="shared" si="0"/>
        <v>2408</v>
      </c>
      <c r="M22" s="10">
        <f t="shared" si="1"/>
        <v>0</v>
      </c>
      <c r="N22" s="67">
        <v>14</v>
      </c>
    </row>
    <row r="23" spans="1:14" ht="12" customHeight="1">
      <c r="A23" s="26"/>
      <c r="B23" s="26" t="s">
        <v>142</v>
      </c>
      <c r="C23" s="26"/>
      <c r="D23" s="26"/>
      <c r="E23" s="18">
        <v>15</v>
      </c>
      <c r="F23" s="6">
        <f>SUM(F7:F22)</f>
        <v>1393690</v>
      </c>
      <c r="G23" s="6">
        <f>SUM(G7:G22)</f>
        <v>450659</v>
      </c>
      <c r="H23" s="6">
        <f>SUM(H7:H22)</f>
        <v>626893</v>
      </c>
      <c r="I23" s="6">
        <f>SUM(I7:I22)</f>
        <v>226600</v>
      </c>
      <c r="J23" s="6">
        <f>SUM(J7:J22)</f>
        <v>418584</v>
      </c>
      <c r="K23" s="126">
        <f>SUM(K8:K22)</f>
        <v>3173363</v>
      </c>
      <c r="L23" s="126">
        <f t="shared" si="0"/>
        <v>3116426</v>
      </c>
      <c r="M23" s="10">
        <f t="shared" si="1"/>
        <v>-0.018</v>
      </c>
      <c r="N23" s="67">
        <v>15</v>
      </c>
    </row>
    <row r="24" spans="1:14" ht="12" customHeight="1">
      <c r="A24" s="240" t="s">
        <v>28</v>
      </c>
      <c r="B24" s="199"/>
      <c r="C24" s="199"/>
      <c r="D24" s="200"/>
      <c r="E24" s="3"/>
      <c r="F24" s="96"/>
      <c r="G24" s="96"/>
      <c r="H24" s="96"/>
      <c r="I24" s="96"/>
      <c r="J24" s="98"/>
      <c r="K24" s="53"/>
      <c r="L24" s="53"/>
      <c r="M24" s="53"/>
      <c r="N24" s="67"/>
    </row>
    <row r="25" spans="2:14" ht="12" customHeight="1">
      <c r="B25" s="12" t="s">
        <v>22</v>
      </c>
      <c r="E25" s="3">
        <v>16</v>
      </c>
      <c r="F25" s="20">
        <f>38905+13088</f>
        <v>51993</v>
      </c>
      <c r="G25" s="20">
        <f>12779+4473</f>
        <v>17252</v>
      </c>
      <c r="H25" s="525">
        <v>14130</v>
      </c>
      <c r="I25" s="20">
        <v>3150</v>
      </c>
      <c r="J25" s="129">
        <v>2000</v>
      </c>
      <c r="K25" s="20">
        <f>[1]!SP1000P200F1000</f>
        <v>97390</v>
      </c>
      <c r="L25" s="537">
        <f>SUM(F25:J25)</f>
        <v>88525</v>
      </c>
      <c r="M25" s="183">
        <f>IF(K25=0," ",(L25-K25)/K25)</f>
        <v>-0.091</v>
      </c>
      <c r="N25" s="67">
        <v>16</v>
      </c>
    </row>
    <row r="26" spans="2:14" ht="12" customHeight="1">
      <c r="B26" s="12" t="s">
        <v>23</v>
      </c>
      <c r="E26" s="3"/>
      <c r="F26" s="96"/>
      <c r="G26" s="96"/>
      <c r="H26" s="96"/>
      <c r="I26" s="96"/>
      <c r="J26" s="98"/>
      <c r="K26" s="53"/>
      <c r="L26" s="53"/>
      <c r="M26" s="53"/>
      <c r="N26" s="67"/>
    </row>
    <row r="27" spans="2:14" ht="12" customHeight="1">
      <c r="B27" s="12" t="s">
        <v>129</v>
      </c>
      <c r="E27" s="16">
        <v>17</v>
      </c>
      <c r="F27" s="20"/>
      <c r="G27" s="20"/>
      <c r="H27" s="20"/>
      <c r="I27" s="20"/>
      <c r="J27" s="129"/>
      <c r="K27" s="20">
        <f>[1]!SP1000P200F2100</f>
        <v>0</v>
      </c>
      <c r="L27" s="6">
        <f>SUM(F27:J27)</f>
        <v>0</v>
      </c>
      <c r="M27" s="183" t="str">
        <f>IF(K27=0," ",(L27-K27)/K27)</f>
        <v> </v>
      </c>
      <c r="N27" s="67">
        <v>17</v>
      </c>
    </row>
    <row r="28" spans="2:14" ht="12" customHeight="1">
      <c r="B28" s="12" t="s">
        <v>147</v>
      </c>
      <c r="E28" s="16">
        <v>18</v>
      </c>
      <c r="F28" s="20"/>
      <c r="G28" s="20"/>
      <c r="H28" s="20"/>
      <c r="I28" s="20"/>
      <c r="J28" s="20"/>
      <c r="K28" s="20">
        <f>[1]!SP1000P200F2200</f>
        <v>0</v>
      </c>
      <c r="L28" s="6">
        <f aca="true" t="shared" si="2" ref="L28:L42">SUM(F28:J28)</f>
        <v>0</v>
      </c>
      <c r="M28" s="99" t="str">
        <f aca="true" t="shared" si="3" ref="M28:M48">IF(K28=0," ",(L28-K28)/K28)</f>
        <v> </v>
      </c>
      <c r="N28" s="67">
        <v>18</v>
      </c>
    </row>
    <row r="29" spans="2:14" ht="12" customHeight="1">
      <c r="B29" s="12" t="s">
        <v>24</v>
      </c>
      <c r="E29" s="16">
        <v>19</v>
      </c>
      <c r="F29" s="20"/>
      <c r="G29" s="20"/>
      <c r="H29" s="525">
        <f>90988-40000</f>
        <v>50988</v>
      </c>
      <c r="I29" s="20"/>
      <c r="J29" s="20"/>
      <c r="K29" s="21">
        <f>[1]!SP1000P200F2300</f>
        <v>40027</v>
      </c>
      <c r="L29" s="6">
        <f t="shared" si="2"/>
        <v>50988</v>
      </c>
      <c r="M29" s="10">
        <f t="shared" si="3"/>
        <v>0.274</v>
      </c>
      <c r="N29" s="67">
        <v>19</v>
      </c>
    </row>
    <row r="30" spans="2:14" ht="12" customHeight="1">
      <c r="B30" s="12" t="s">
        <v>25</v>
      </c>
      <c r="E30" s="16">
        <v>20</v>
      </c>
      <c r="F30" s="20"/>
      <c r="G30" s="20"/>
      <c r="H30" s="20"/>
      <c r="I30" s="20"/>
      <c r="J30" s="20"/>
      <c r="K30" s="21">
        <f>[1]!SP1000P200F2400</f>
        <v>0</v>
      </c>
      <c r="L30" s="6">
        <f t="shared" si="2"/>
        <v>0</v>
      </c>
      <c r="M30" s="10" t="str">
        <f t="shared" si="3"/>
        <v> </v>
      </c>
      <c r="N30" s="67">
        <v>20</v>
      </c>
    </row>
    <row r="31" spans="2:14" ht="12" customHeight="1">
      <c r="B31" s="12" t="s">
        <v>148</v>
      </c>
      <c r="E31" s="16">
        <v>21</v>
      </c>
      <c r="F31" s="20"/>
      <c r="G31" s="20"/>
      <c r="H31" s="20"/>
      <c r="I31" s="20"/>
      <c r="J31" s="20"/>
      <c r="K31" s="21">
        <f>[1]!SP1000P200F2500</f>
        <v>0</v>
      </c>
      <c r="L31" s="6">
        <f>SUM(F31:J31)</f>
        <v>0</v>
      </c>
      <c r="M31" s="10" t="str">
        <f t="shared" si="3"/>
        <v> </v>
      </c>
      <c r="N31" s="67">
        <v>21</v>
      </c>
    </row>
    <row r="32" spans="2:14" ht="12" customHeight="1">
      <c r="B32" s="12" t="s">
        <v>149</v>
      </c>
      <c r="E32" s="16">
        <v>22</v>
      </c>
      <c r="F32" s="20"/>
      <c r="G32" s="20"/>
      <c r="H32" s="20"/>
      <c r="I32" s="20"/>
      <c r="J32" s="20"/>
      <c r="K32" s="21">
        <f>[1]!SP1000P200F2600</f>
        <v>0</v>
      </c>
      <c r="L32" s="6">
        <f t="shared" si="2"/>
        <v>0</v>
      </c>
      <c r="M32" s="10" t="str">
        <f t="shared" si="3"/>
        <v> </v>
      </c>
      <c r="N32" s="67">
        <v>22</v>
      </c>
    </row>
    <row r="33" spans="2:14" ht="12" customHeight="1">
      <c r="B33" s="12" t="s">
        <v>75</v>
      </c>
      <c r="E33" s="16">
        <v>23</v>
      </c>
      <c r="F33" s="20"/>
      <c r="G33" s="20"/>
      <c r="H33" s="20"/>
      <c r="I33" s="20"/>
      <c r="J33" s="20"/>
      <c r="K33" s="21">
        <f>[1]!SP1000P200F2900</f>
        <v>0</v>
      </c>
      <c r="L33" s="6">
        <f t="shared" si="2"/>
        <v>0</v>
      </c>
      <c r="M33" s="10" t="str">
        <f t="shared" si="3"/>
        <v> </v>
      </c>
      <c r="N33" s="67">
        <v>23</v>
      </c>
    </row>
    <row r="34" spans="2:18" ht="12" customHeight="1">
      <c r="B34" s="12" t="s">
        <v>26</v>
      </c>
      <c r="E34" s="16">
        <v>24</v>
      </c>
      <c r="F34" s="20"/>
      <c r="G34" s="20"/>
      <c r="H34" s="20"/>
      <c r="I34" s="20"/>
      <c r="J34" s="20"/>
      <c r="K34" s="21">
        <f>[1]!SP1000P200F3000</f>
        <v>0</v>
      </c>
      <c r="L34" s="6">
        <f t="shared" si="2"/>
        <v>0</v>
      </c>
      <c r="M34" s="10" t="str">
        <f t="shared" si="3"/>
        <v> </v>
      </c>
      <c r="N34" s="67">
        <v>24</v>
      </c>
      <c r="R34" s="196"/>
    </row>
    <row r="35" spans="2:14" ht="12" customHeight="1">
      <c r="B35" s="12" t="s">
        <v>150</v>
      </c>
      <c r="E35" s="16">
        <v>25</v>
      </c>
      <c r="F35" s="20"/>
      <c r="G35" s="20"/>
      <c r="H35" s="20"/>
      <c r="I35" s="20"/>
      <c r="J35" s="20"/>
      <c r="K35" s="21">
        <f>[1]!SP1000P200F4000</f>
        <v>0</v>
      </c>
      <c r="L35" s="6">
        <f t="shared" si="2"/>
        <v>0</v>
      </c>
      <c r="M35" s="10" t="str">
        <f t="shared" si="3"/>
        <v> </v>
      </c>
      <c r="N35" s="67">
        <v>25</v>
      </c>
    </row>
    <row r="36" spans="2:14" ht="12" customHeight="1">
      <c r="B36" s="12" t="s">
        <v>27</v>
      </c>
      <c r="E36" s="3">
        <v>26</v>
      </c>
      <c r="F36" s="20"/>
      <c r="G36" s="20"/>
      <c r="H36" s="20"/>
      <c r="I36" s="20"/>
      <c r="J36" s="20"/>
      <c r="K36" s="21">
        <f>[1]!SP1000P200F5000</f>
        <v>0</v>
      </c>
      <c r="L36" s="6">
        <f t="shared" si="2"/>
        <v>0</v>
      </c>
      <c r="M36" s="10" t="str">
        <f t="shared" si="3"/>
        <v> </v>
      </c>
      <c r="N36" s="67">
        <v>26</v>
      </c>
    </row>
    <row r="37" spans="1:14" ht="12" customHeight="1">
      <c r="A37" s="26"/>
      <c r="B37" s="26" t="s">
        <v>86</v>
      </c>
      <c r="C37" s="26"/>
      <c r="D37" s="26"/>
      <c r="E37" s="18">
        <v>27</v>
      </c>
      <c r="F37" s="15">
        <f>SUM(F24:F36)</f>
        <v>51993</v>
      </c>
      <c r="G37" s="15">
        <f>SUM(G24:G36)</f>
        <v>17252</v>
      </c>
      <c r="H37" s="15">
        <f>SUM(H24:H36)</f>
        <v>65118</v>
      </c>
      <c r="I37" s="15">
        <f>SUM(I24:I36)</f>
        <v>3150</v>
      </c>
      <c r="J37" s="15">
        <f>SUM(J24:J36)</f>
        <v>2000</v>
      </c>
      <c r="K37" s="15">
        <f>SUM(K25:K36)</f>
        <v>137417</v>
      </c>
      <c r="L37" s="538">
        <f t="shared" si="2"/>
        <v>139513</v>
      </c>
      <c r="M37" s="99">
        <f t="shared" si="3"/>
        <v>0.015</v>
      </c>
      <c r="N37" s="67">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v>25477</v>
      </c>
      <c r="G39" s="20">
        <v>8158</v>
      </c>
      <c r="H39" s="20">
        <v>108086</v>
      </c>
      <c r="I39" s="20">
        <v>12300</v>
      </c>
      <c r="J39" s="20">
        <v>200</v>
      </c>
      <c r="K39" s="20">
        <f>[1]!SP1000P400</f>
        <v>145424</v>
      </c>
      <c r="L39" s="6">
        <f t="shared" si="2"/>
        <v>154221</v>
      </c>
      <c r="M39" s="10">
        <f t="shared" si="3"/>
        <v>0.06</v>
      </c>
      <c r="N39" s="67">
        <v>28</v>
      </c>
    </row>
    <row r="40" spans="1:14" ht="12" customHeight="1">
      <c r="A40" s="26" t="s">
        <v>30</v>
      </c>
      <c r="B40" s="26"/>
      <c r="C40" s="26"/>
      <c r="D40" s="26"/>
      <c r="E40" s="5">
        <v>29</v>
      </c>
      <c r="F40" s="20"/>
      <c r="G40" s="20"/>
      <c r="H40" s="20"/>
      <c r="I40" s="20"/>
      <c r="J40" s="20"/>
      <c r="K40" s="21">
        <f>[1]!SP1000P530</f>
        <v>0</v>
      </c>
      <c r="L40" s="6">
        <f>SUM(F40:J40)</f>
        <v>0</v>
      </c>
      <c r="M40" s="10" t="str">
        <f t="shared" si="3"/>
        <v> </v>
      </c>
      <c r="N40" s="67">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7">
        <v>30</v>
      </c>
    </row>
    <row r="42" spans="1:14" ht="12" customHeight="1">
      <c r="A42" s="208" t="s">
        <v>213</v>
      </c>
      <c r="B42" s="203"/>
      <c r="C42" s="203"/>
      <c r="D42" s="203"/>
      <c r="E42" s="5">
        <v>31</v>
      </c>
      <c r="F42" s="525">
        <v>19000</v>
      </c>
      <c r="G42" s="525">
        <v>3889</v>
      </c>
      <c r="H42" s="525"/>
      <c r="I42" s="525"/>
      <c r="J42" s="525"/>
      <c r="K42" s="21">
        <f>[1]!SP1000P550</f>
        <v>18139</v>
      </c>
      <c r="L42" s="6">
        <f t="shared" si="2"/>
        <v>22889</v>
      </c>
      <c r="M42" s="10">
        <f t="shared" si="3"/>
        <v>0.262</v>
      </c>
      <c r="N42" s="67">
        <v>31</v>
      </c>
    </row>
    <row r="43" spans="1:14" ht="12" customHeight="1">
      <c r="A43" s="26"/>
      <c r="B43" s="103" t="s">
        <v>265</v>
      </c>
      <c r="C43" s="26"/>
      <c r="D43" s="26"/>
      <c r="E43" s="5">
        <v>32</v>
      </c>
      <c r="F43" s="6">
        <f aca="true" t="shared" si="4" ref="F43:K43">SUM(F37:F42)+F23</f>
        <v>1490160</v>
      </c>
      <c r="G43" s="6">
        <f t="shared" si="4"/>
        <v>479958</v>
      </c>
      <c r="H43" s="6">
        <f t="shared" si="4"/>
        <v>800097</v>
      </c>
      <c r="I43" s="6">
        <f t="shared" si="4"/>
        <v>242050</v>
      </c>
      <c r="J43" s="6">
        <f t="shared" si="4"/>
        <v>420784</v>
      </c>
      <c r="K43" s="6">
        <f t="shared" si="4"/>
        <v>3474343</v>
      </c>
      <c r="L43" s="6">
        <f>SUM(F43:J43)</f>
        <v>3433049</v>
      </c>
      <c r="M43" s="10">
        <f t="shared" si="3"/>
        <v>-0.012</v>
      </c>
      <c r="N43" s="67">
        <v>32</v>
      </c>
    </row>
    <row r="44" spans="1:14" ht="12" customHeight="1">
      <c r="A44" s="103" t="s">
        <v>257</v>
      </c>
      <c r="B44" s="26"/>
      <c r="C44" s="26"/>
      <c r="D44" s="26"/>
      <c r="E44" s="5">
        <v>33</v>
      </c>
      <c r="F44" s="6">
        <f>TotalCSP6100</f>
        <v>154726</v>
      </c>
      <c r="G44" s="6">
        <f>TotalCSP6200</f>
        <v>40918</v>
      </c>
      <c r="H44" s="6">
        <f>TotalCSP630064006500</f>
        <v>0</v>
      </c>
      <c r="I44" s="6">
        <f>TotalCSP6600</f>
        <v>0</v>
      </c>
      <c r="J44" s="95"/>
      <c r="K44" s="20">
        <f>[1]!SP1000ClassSiteProj</f>
        <v>189880</v>
      </c>
      <c r="L44" s="6">
        <f>SUM(F44:J44)</f>
        <v>195644</v>
      </c>
      <c r="M44" s="10">
        <f t="shared" si="3"/>
        <v>0.03</v>
      </c>
      <c r="N44" s="67">
        <v>33</v>
      </c>
    </row>
    <row r="45" spans="1:14" ht="12" customHeight="1">
      <c r="A45" s="103" t="s">
        <v>258</v>
      </c>
      <c r="B45" s="26"/>
      <c r="C45" s="26"/>
      <c r="D45" s="26"/>
      <c r="E45" s="5">
        <v>34</v>
      </c>
      <c r="F45" s="95"/>
      <c r="G45" s="95"/>
      <c r="H45" s="95"/>
      <c r="I45" s="95"/>
      <c r="J45" s="95"/>
      <c r="K45" s="20">
        <f>[1]!SP1000InstrImpProj</f>
        <v>25287</v>
      </c>
      <c r="L45" s="6">
        <f>TotalInstructionalImprovement</f>
        <v>25831</v>
      </c>
      <c r="M45" s="10">
        <f t="shared" si="3"/>
        <v>0.022</v>
      </c>
      <c r="N45" s="67">
        <v>34</v>
      </c>
    </row>
    <row r="46" spans="1:14" ht="12" customHeight="1">
      <c r="A46" s="103" t="s">
        <v>494</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7">
        <v>35</v>
      </c>
    </row>
    <row r="47" spans="1:14" ht="12" customHeight="1">
      <c r="A47" s="103"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7">
        <v>36</v>
      </c>
    </row>
    <row r="48" spans="1:14" ht="12" customHeight="1">
      <c r="A48" s="208" t="s">
        <v>280</v>
      </c>
      <c r="B48" s="203"/>
      <c r="C48" s="203"/>
      <c r="D48" s="203"/>
      <c r="E48" s="213">
        <v>37</v>
      </c>
      <c r="F48" s="95"/>
      <c r="G48" s="95"/>
      <c r="H48" s="95"/>
      <c r="I48" s="95"/>
      <c r="J48" s="95"/>
      <c r="K48" s="21">
        <f>[1]!SP1000FedStProj</f>
        <v>219548</v>
      </c>
      <c r="L48" s="6">
        <f>FederalandStateProjectsTotal</f>
        <v>244863</v>
      </c>
      <c r="M48" s="10">
        <f t="shared" si="3"/>
        <v>0.115</v>
      </c>
      <c r="N48" s="67">
        <v>37</v>
      </c>
    </row>
    <row r="49" spans="1:14" ht="12" customHeight="1">
      <c r="A49" s="71"/>
      <c r="B49" s="103" t="s">
        <v>272</v>
      </c>
      <c r="C49" s="26"/>
      <c r="D49" s="26"/>
      <c r="E49" s="5">
        <v>38</v>
      </c>
      <c r="F49" s="11">
        <f>SUM(F43+F44+F46+F47)</f>
        <v>1644886</v>
      </c>
      <c r="G49" s="11">
        <f>SUM(G43+G44+G46+G47)</f>
        <v>520876</v>
      </c>
      <c r="H49" s="11">
        <f>SUM(H43+H44+H46+H47)</f>
        <v>800097</v>
      </c>
      <c r="I49" s="11">
        <f>SUM(I43+I44+I46+I47)</f>
        <v>242050</v>
      </c>
      <c r="J49" s="11">
        <f>SUM(J43+J46+J47)</f>
        <v>420784</v>
      </c>
      <c r="K49" s="8">
        <f>SUM(K43:K48)</f>
        <v>3909058</v>
      </c>
      <c r="L49" s="8">
        <f>SUM(L43:L48)</f>
        <v>3899387</v>
      </c>
      <c r="M49" s="10">
        <f>IF(K49=0," ",(L49-K49)/K49)</f>
        <v>-0.002</v>
      </c>
      <c r="N49" s="67">
        <v>38</v>
      </c>
    </row>
    <row r="52" ht="12.75" customHeight="1">
      <c r="F52" s="196"/>
    </row>
  </sheetData>
  <sheetProtection/>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tabSelected="1" zoomScale="90" zoomScaleNormal="90" workbookViewId="0" topLeftCell="A1">
      <selection activeCell="Q28" sqref="Q28"/>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4" t="s">
        <v>0</v>
      </c>
      <c r="C1" s="611" t="str">
        <f>Cover!D1</f>
        <v>Edkey, Inc.</v>
      </c>
      <c r="D1" s="612"/>
      <c r="E1" s="612"/>
      <c r="F1" s="612"/>
      <c r="H1" s="36" t="s">
        <v>1</v>
      </c>
      <c r="I1" s="613" t="str">
        <f>Cover!M1</f>
        <v>Yavapia</v>
      </c>
      <c r="J1" s="598"/>
      <c r="K1" s="598"/>
      <c r="M1" s="36" t="s">
        <v>89</v>
      </c>
      <c r="N1" s="205" t="str">
        <f>Cover!R1</f>
        <v>138754000</v>
      </c>
      <c r="P1" s="84"/>
      <c r="Q1" s="84"/>
      <c r="R1" s="84"/>
      <c r="S1" s="84"/>
      <c r="T1" s="84"/>
      <c r="U1" s="84"/>
      <c r="V1" s="84"/>
      <c r="W1" s="84"/>
      <c r="X1" s="84"/>
    </row>
    <row r="2" spans="1:24" ht="7.5" customHeight="1">
      <c r="A2" s="85"/>
      <c r="B2" s="29"/>
      <c r="C2" s="29"/>
      <c r="D2" s="29"/>
      <c r="E2" s="29"/>
      <c r="H2" s="193"/>
      <c r="I2" s="192"/>
      <c r="J2" s="192"/>
      <c r="K2" s="192"/>
      <c r="L2" s="192"/>
      <c r="M2" s="192"/>
      <c r="N2" s="192"/>
      <c r="P2" s="84"/>
      <c r="Q2" s="84"/>
      <c r="R2" s="84"/>
      <c r="S2" s="84"/>
      <c r="T2" s="84"/>
      <c r="U2" s="84"/>
      <c r="V2" s="84"/>
      <c r="W2" s="84"/>
      <c r="X2" s="84"/>
    </row>
    <row r="3" spans="1:24" ht="12" customHeight="1">
      <c r="A3" s="563" t="s">
        <v>73</v>
      </c>
      <c r="B3" s="563"/>
      <c r="C3" s="563"/>
      <c r="D3" s="218"/>
      <c r="E3" s="218"/>
      <c r="H3" s="209" t="s">
        <v>56</v>
      </c>
      <c r="I3" s="202"/>
      <c r="J3" s="202"/>
      <c r="K3" s="202"/>
      <c r="L3" s="202"/>
      <c r="M3" s="202"/>
      <c r="N3" s="202"/>
      <c r="P3" s="84"/>
      <c r="Q3" s="610"/>
      <c r="R3" s="610"/>
      <c r="S3" s="84"/>
      <c r="T3" s="84"/>
      <c r="U3" s="84"/>
      <c r="V3" s="84"/>
      <c r="W3" s="84"/>
      <c r="X3" s="84"/>
    </row>
    <row r="4" spans="1:24" ht="40.5" customHeight="1">
      <c r="A4" t="s">
        <v>31</v>
      </c>
      <c r="D4" s="105" t="s">
        <v>495</v>
      </c>
      <c r="E4" s="105" t="s">
        <v>496</v>
      </c>
      <c r="H4" s="29"/>
      <c r="I4" s="29"/>
      <c r="J4" s="29"/>
      <c r="K4" s="29"/>
      <c r="M4" s="105" t="s">
        <v>497</v>
      </c>
      <c r="N4" s="105" t="s">
        <v>498</v>
      </c>
      <c r="P4" s="84"/>
      <c r="Q4" s="610"/>
      <c r="R4" s="610"/>
      <c r="S4" s="84"/>
      <c r="T4" s="84"/>
      <c r="U4" s="84"/>
      <c r="V4" s="84"/>
      <c r="W4" s="84"/>
      <c r="X4" s="84"/>
    </row>
    <row r="5" spans="1:24" ht="12" customHeight="1">
      <c r="A5" s="115">
        <v>1</v>
      </c>
      <c r="B5" s="117" t="s">
        <v>179</v>
      </c>
      <c r="C5" s="116"/>
      <c r="D5" s="110">
        <f>[1]!FP11001130TitleI</f>
        <v>129141</v>
      </c>
      <c r="E5" s="110">
        <f>117847+37398+8223</f>
        <v>163468</v>
      </c>
      <c r="F5" s="27">
        <v>1</v>
      </c>
      <c r="G5" s="119">
        <v>1</v>
      </c>
      <c r="H5" s="214" t="s">
        <v>262</v>
      </c>
      <c r="I5" s="214"/>
      <c r="J5" s="231"/>
      <c r="K5" s="116"/>
      <c r="M5" s="111">
        <f>'[1]Page 2'!$N$5</f>
        <v>137417</v>
      </c>
      <c r="N5" s="539">
        <v>139513</v>
      </c>
      <c r="O5" s="27">
        <v>1</v>
      </c>
      <c r="P5" s="84"/>
      <c r="Q5" s="84"/>
      <c r="R5" s="217"/>
      <c r="S5" s="217"/>
      <c r="T5" s="84"/>
      <c r="U5" s="84"/>
      <c r="V5" s="84"/>
      <c r="W5" s="84"/>
      <c r="X5" s="84"/>
    </row>
    <row r="6" spans="1:24" ht="12" customHeight="1">
      <c r="A6" s="115">
        <v>2</v>
      </c>
      <c r="B6" s="117" t="s">
        <v>180</v>
      </c>
      <c r="C6" s="116"/>
      <c r="D6" s="110">
        <f>[1]!FP11401150TitleII</f>
        <v>13110</v>
      </c>
      <c r="E6" s="110">
        <f>8028+699+418+1302</f>
        <v>10447</v>
      </c>
      <c r="F6" s="27">
        <v>2</v>
      </c>
      <c r="G6" s="119">
        <v>2</v>
      </c>
      <c r="H6" s="116" t="s">
        <v>33</v>
      </c>
      <c r="I6" s="116"/>
      <c r="J6" s="116"/>
      <c r="K6" s="116"/>
      <c r="M6" s="111">
        <f>[1]!P200GiftedEducation</f>
        <v>0</v>
      </c>
      <c r="N6" s="111"/>
      <c r="O6" s="27">
        <v>2</v>
      </c>
      <c r="P6" s="84"/>
      <c r="Q6" s="84"/>
      <c r="R6" s="217"/>
      <c r="S6" s="217"/>
      <c r="T6" s="84"/>
      <c r="U6" s="84"/>
      <c r="V6" s="84"/>
      <c r="W6" s="84"/>
      <c r="X6" s="84"/>
    </row>
    <row r="7" spans="1:24" ht="12" customHeight="1">
      <c r="A7" s="115">
        <v>3</v>
      </c>
      <c r="B7" s="117" t="s">
        <v>181</v>
      </c>
      <c r="C7" s="116"/>
      <c r="D7" s="110">
        <f>[1]!FP1160TitleIV</f>
        <v>0</v>
      </c>
      <c r="E7" s="110"/>
      <c r="F7" s="27">
        <v>3</v>
      </c>
      <c r="G7" s="119">
        <v>3</v>
      </c>
      <c r="H7" s="116" t="s">
        <v>145</v>
      </c>
      <c r="I7" s="116"/>
      <c r="J7" s="116"/>
      <c r="K7" s="116"/>
      <c r="M7" s="110">
        <f>[1]!P200ELLIncrementalCosts</f>
        <v>0</v>
      </c>
      <c r="N7" s="110"/>
      <c r="O7" s="27">
        <v>3</v>
      </c>
      <c r="P7" s="84"/>
      <c r="Q7" s="84"/>
      <c r="R7" s="217"/>
      <c r="S7" s="217"/>
      <c r="T7" s="84"/>
      <c r="U7" s="84"/>
      <c r="V7" s="84"/>
      <c r="W7" s="84"/>
      <c r="X7" s="84"/>
    </row>
    <row r="8" spans="1:24" ht="12" customHeight="1">
      <c r="A8" s="115">
        <v>4</v>
      </c>
      <c r="B8" s="117" t="s">
        <v>182</v>
      </c>
      <c r="C8" s="116"/>
      <c r="D8" s="110">
        <f>[1]!FP11701180TitleV</f>
        <v>0</v>
      </c>
      <c r="E8" s="110"/>
      <c r="F8" s="27">
        <v>4</v>
      </c>
      <c r="G8" s="119">
        <v>4</v>
      </c>
      <c r="H8" s="116" t="s">
        <v>146</v>
      </c>
      <c r="I8" s="116"/>
      <c r="J8" s="116"/>
      <c r="K8" s="116"/>
      <c r="M8" s="110">
        <f>[1]!P200ELLCompensatoryInstruction</f>
        <v>0</v>
      </c>
      <c r="N8" s="110"/>
      <c r="O8" s="27">
        <v>4</v>
      </c>
      <c r="P8" s="84"/>
      <c r="Q8" s="84"/>
      <c r="R8" s="217"/>
      <c r="S8" s="217"/>
      <c r="T8" s="84"/>
      <c r="U8" s="84"/>
      <c r="V8" s="84"/>
      <c r="W8" s="84"/>
      <c r="X8" s="84"/>
    </row>
    <row r="9" spans="1:24" ht="12" customHeight="1">
      <c r="A9" s="115">
        <v>5</v>
      </c>
      <c r="B9" s="117" t="s">
        <v>183</v>
      </c>
      <c r="C9" s="116"/>
      <c r="D9" s="110">
        <f>[1]!FP1190TitleIII</f>
        <v>0</v>
      </c>
      <c r="E9" s="110"/>
      <c r="F9" s="27">
        <v>5</v>
      </c>
      <c r="G9" s="119">
        <v>5</v>
      </c>
      <c r="H9" s="116" t="s">
        <v>34</v>
      </c>
      <c r="I9" s="116"/>
      <c r="J9" s="116"/>
      <c r="K9" s="116"/>
      <c r="M9" s="110">
        <f>[1]!P200RemedialEducation</f>
        <v>0</v>
      </c>
      <c r="N9" s="110"/>
      <c r="O9" s="27">
        <v>5</v>
      </c>
      <c r="P9" s="84"/>
      <c r="Q9" s="84"/>
      <c r="R9" s="217"/>
      <c r="S9" s="217"/>
      <c r="T9" s="84"/>
      <c r="U9" s="84"/>
      <c r="V9" s="84"/>
      <c r="W9" s="84"/>
      <c r="X9" s="84"/>
    </row>
    <row r="10" spans="1:24" ht="12" customHeight="1">
      <c r="A10" s="115">
        <v>6</v>
      </c>
      <c r="B10" s="117" t="s">
        <v>184</v>
      </c>
      <c r="C10" s="116"/>
      <c r="D10" s="110">
        <f>[1]!FP1200TitleVII</f>
        <v>7167</v>
      </c>
      <c r="E10" s="110">
        <v>7763</v>
      </c>
      <c r="F10" s="27">
        <v>6</v>
      </c>
      <c r="G10" s="119">
        <v>6</v>
      </c>
      <c r="H10" s="486" t="s">
        <v>499</v>
      </c>
      <c r="I10" s="116"/>
      <c r="J10" s="116"/>
      <c r="K10" s="116"/>
      <c r="M10" s="110">
        <f>[1]!P200VocationalandTechnologicalEd</f>
        <v>0</v>
      </c>
      <c r="N10" s="110"/>
      <c r="O10" s="27">
        <v>6</v>
      </c>
      <c r="P10" s="84"/>
      <c r="Q10" s="84"/>
      <c r="R10" s="217"/>
      <c r="S10" s="217"/>
      <c r="T10" s="84"/>
      <c r="U10" s="84"/>
      <c r="V10" s="84"/>
      <c r="W10" s="84"/>
      <c r="X10" s="84"/>
    </row>
    <row r="11" spans="1:24" ht="12" customHeight="1">
      <c r="A11" s="115">
        <v>7</v>
      </c>
      <c r="B11" s="117" t="s">
        <v>185</v>
      </c>
      <c r="C11" s="116"/>
      <c r="D11" s="110">
        <f>[1]!FP1210TitleVI</f>
        <v>0</v>
      </c>
      <c r="E11" s="110"/>
      <c r="F11" s="27">
        <v>7</v>
      </c>
      <c r="G11" s="119">
        <v>7</v>
      </c>
      <c r="H11" s="116" t="s">
        <v>35</v>
      </c>
      <c r="I11" s="116"/>
      <c r="J11" s="116"/>
      <c r="K11" s="116"/>
      <c r="M11" s="110">
        <f>[1]!P200CareerEducation</f>
        <v>0</v>
      </c>
      <c r="N11" s="110"/>
      <c r="O11" s="27">
        <v>7</v>
      </c>
      <c r="P11" s="84"/>
      <c r="Q11" s="84"/>
      <c r="R11" s="217"/>
      <c r="S11" s="217"/>
      <c r="T11" s="84"/>
      <c r="U11" s="84"/>
      <c r="V11" s="84"/>
      <c r="W11" s="84"/>
      <c r="X11" s="84"/>
    </row>
    <row r="12" spans="1:24" ht="12" customHeight="1">
      <c r="A12" s="115">
        <v>8</v>
      </c>
      <c r="B12" s="116" t="s">
        <v>46</v>
      </c>
      <c r="C12" s="116"/>
      <c r="D12" s="110">
        <f>[1]!FP1220IDEA</f>
        <v>62566</v>
      </c>
      <c r="E12" s="528">
        <f>39100+11256+597</f>
        <v>50953</v>
      </c>
      <c r="F12" s="27">
        <v>8</v>
      </c>
      <c r="G12" s="119">
        <v>8</v>
      </c>
      <c r="H12" s="214" t="s">
        <v>261</v>
      </c>
      <c r="I12" s="214"/>
      <c r="J12" s="231"/>
      <c r="K12" s="116"/>
      <c r="M12" s="233">
        <f>SUM(M5:M11)</f>
        <v>137417</v>
      </c>
      <c r="N12" s="540">
        <f>IF(SUM(N5:N11)=SUM('Page 1'!L37),SUM(N5:N11),"Invalid")</f>
        <v>139513</v>
      </c>
      <c r="O12" s="27">
        <v>8</v>
      </c>
      <c r="P12" s="84"/>
      <c r="Q12" s="84"/>
      <c r="R12" s="217"/>
      <c r="S12" s="217"/>
      <c r="T12" s="84"/>
      <c r="U12" s="84"/>
      <c r="V12" s="84"/>
      <c r="W12" s="84"/>
      <c r="X12" s="84"/>
    </row>
    <row r="13" spans="1:24" ht="12" customHeight="1">
      <c r="A13" s="115">
        <v>9</v>
      </c>
      <c r="B13" s="116" t="s">
        <v>47</v>
      </c>
      <c r="C13" s="116"/>
      <c r="D13" s="110">
        <f>[1]!FP1230Johnson</f>
        <v>0</v>
      </c>
      <c r="E13" s="110"/>
      <c r="F13" s="27">
        <v>9</v>
      </c>
      <c r="G13" s="119"/>
      <c r="H13" s="117"/>
      <c r="I13" s="116"/>
      <c r="J13" s="116"/>
      <c r="K13" s="116"/>
      <c r="M13" s="122"/>
      <c r="N13" s="122"/>
      <c r="O13" s="27"/>
      <c r="P13" s="84"/>
      <c r="Q13" s="84"/>
      <c r="R13" s="217"/>
      <c r="S13" s="217"/>
      <c r="T13" s="84"/>
      <c r="U13" s="84"/>
      <c r="V13" s="84"/>
      <c r="W13" s="84"/>
      <c r="X13" s="84"/>
    </row>
    <row r="14" spans="1:24" ht="12" customHeight="1">
      <c r="A14" s="115">
        <v>10</v>
      </c>
      <c r="B14" s="116" t="s">
        <v>131</v>
      </c>
      <c r="C14" s="116"/>
      <c r="D14" s="110">
        <f>[1]!FP1240WIA</f>
        <v>0</v>
      </c>
      <c r="E14" s="110"/>
      <c r="F14" s="27">
        <v>10</v>
      </c>
      <c r="G14" s="119"/>
      <c r="H14" s="209" t="s">
        <v>173</v>
      </c>
      <c r="I14" s="202"/>
      <c r="J14" s="202"/>
      <c r="K14" s="202"/>
      <c r="L14" s="202"/>
      <c r="M14" s="122"/>
      <c r="N14" s="122"/>
      <c r="O14" s="27"/>
      <c r="P14" s="84"/>
      <c r="Q14" s="84"/>
      <c r="R14" s="217"/>
      <c r="S14" s="217"/>
      <c r="T14" s="84"/>
      <c r="U14" s="84"/>
      <c r="V14" s="84"/>
      <c r="W14" s="84"/>
      <c r="X14" s="84"/>
    </row>
    <row r="15" spans="1:24" ht="12" customHeight="1">
      <c r="A15" s="115">
        <v>11</v>
      </c>
      <c r="B15" s="117" t="s">
        <v>186</v>
      </c>
      <c r="C15" s="116"/>
      <c r="D15" s="110">
        <f>[1]!FP1250AEA</f>
        <v>0</v>
      </c>
      <c r="E15" s="110"/>
      <c r="F15" s="27">
        <v>11</v>
      </c>
      <c r="G15" s="119"/>
      <c r="H15" s="120" t="s">
        <v>134</v>
      </c>
      <c r="I15" s="12"/>
      <c r="M15" s="229"/>
      <c r="N15" s="228"/>
      <c r="O15" s="27"/>
      <c r="P15" s="84"/>
      <c r="Q15" s="84"/>
      <c r="R15" s="217"/>
      <c r="S15" s="217"/>
      <c r="T15" s="84"/>
      <c r="U15" s="84"/>
      <c r="V15" s="84"/>
      <c r="W15" s="84"/>
      <c r="X15" s="84"/>
    </row>
    <row r="16" spans="1:24" ht="12" customHeight="1">
      <c r="A16" s="115">
        <v>12</v>
      </c>
      <c r="B16" s="117" t="s">
        <v>187</v>
      </c>
      <c r="C16" s="116"/>
      <c r="D16" s="110">
        <f>[1]!FP12601270VocEd</f>
        <v>0</v>
      </c>
      <c r="E16" s="110"/>
      <c r="F16" s="27">
        <v>12</v>
      </c>
      <c r="G16" s="119"/>
      <c r="H16" s="116"/>
      <c r="I16" s="116"/>
      <c r="J16" s="116"/>
      <c r="K16" s="116"/>
      <c r="M16" s="616" t="s">
        <v>500</v>
      </c>
      <c r="N16" s="616" t="s">
        <v>496</v>
      </c>
      <c r="O16" s="27"/>
      <c r="P16" s="84"/>
      <c r="Q16" s="84"/>
      <c r="R16" s="217"/>
      <c r="S16" s="217"/>
      <c r="T16" s="84"/>
      <c r="U16" s="84"/>
      <c r="V16" s="84"/>
      <c r="W16" s="84"/>
      <c r="X16" s="84"/>
    </row>
    <row r="17" spans="1:24" ht="12" customHeight="1">
      <c r="A17" s="115">
        <v>13</v>
      </c>
      <c r="B17" s="117" t="s">
        <v>188</v>
      </c>
      <c r="C17" s="116"/>
      <c r="D17" s="110">
        <f>[1]!FP1280TitleX</f>
        <v>0</v>
      </c>
      <c r="E17" s="110"/>
      <c r="F17" s="27">
        <v>13</v>
      </c>
      <c r="G17" s="119"/>
      <c r="H17" s="116"/>
      <c r="I17" s="116"/>
      <c r="J17" s="116"/>
      <c r="K17" s="116"/>
      <c r="M17" s="616"/>
      <c r="N17" s="616"/>
      <c r="O17" s="27"/>
      <c r="P17" s="84"/>
      <c r="Q17" s="84"/>
      <c r="R17" s="217"/>
      <c r="S17" s="217"/>
      <c r="T17" s="84"/>
      <c r="U17" s="84"/>
      <c r="V17" s="84"/>
      <c r="W17" s="84"/>
      <c r="X17" s="84"/>
    </row>
    <row r="18" spans="1:24" ht="12" customHeight="1">
      <c r="A18" s="115">
        <v>14</v>
      </c>
      <c r="B18" s="117" t="s">
        <v>66</v>
      </c>
      <c r="C18" s="116"/>
      <c r="D18" s="110">
        <f>[1]!FP1290Medicaid</f>
        <v>0</v>
      </c>
      <c r="E18" s="110"/>
      <c r="F18" s="27">
        <v>14</v>
      </c>
      <c r="G18" s="115" t="s">
        <v>43</v>
      </c>
      <c r="H18" s="120" t="s">
        <v>132</v>
      </c>
      <c r="I18" s="120"/>
      <c r="J18" s="116"/>
      <c r="K18" s="116"/>
      <c r="M18" s="111">
        <f>[1]!IIPTeacherCompensationIncreases</f>
        <v>0</v>
      </c>
      <c r="N18" s="111">
        <v>0</v>
      </c>
      <c r="O18" s="115" t="s">
        <v>43</v>
      </c>
      <c r="P18" s="84"/>
      <c r="Q18" s="84"/>
      <c r="R18" s="217"/>
      <c r="S18" s="217"/>
      <c r="T18" s="84"/>
      <c r="U18" s="84"/>
      <c r="V18" s="84"/>
      <c r="W18" s="84"/>
      <c r="X18" s="84"/>
    </row>
    <row r="19" spans="1:24" ht="12" customHeight="1">
      <c r="A19" s="115">
        <v>15</v>
      </c>
      <c r="B19" s="116" t="s">
        <v>74</v>
      </c>
      <c r="C19" s="116"/>
      <c r="D19" s="111">
        <f>[1]!FP1300Charter</f>
        <v>0</v>
      </c>
      <c r="E19" s="111"/>
      <c r="F19" s="27">
        <v>15</v>
      </c>
      <c r="G19" s="115" t="s">
        <v>44</v>
      </c>
      <c r="H19" s="121" t="s">
        <v>133</v>
      </c>
      <c r="I19" s="121"/>
      <c r="J19" s="227"/>
      <c r="M19" s="111">
        <f>[1]!IIPClassSizeReduction</f>
        <v>0</v>
      </c>
      <c r="N19" s="111">
        <v>0</v>
      </c>
      <c r="O19" s="115" t="s">
        <v>44</v>
      </c>
      <c r="P19" s="84"/>
      <c r="Q19" s="84"/>
      <c r="R19" s="217"/>
      <c r="S19" s="217"/>
      <c r="T19" s="84"/>
      <c r="U19" s="84"/>
      <c r="V19" s="84"/>
      <c r="W19" s="84"/>
      <c r="X19" s="84"/>
    </row>
    <row r="20" spans="1:24" ht="12" customHeight="1">
      <c r="A20" s="115">
        <v>16</v>
      </c>
      <c r="B20" s="117" t="s">
        <v>249</v>
      </c>
      <c r="C20" s="116"/>
      <c r="D20" s="225">
        <f>[1]!FP13__ImpactAid</f>
        <v>0</v>
      </c>
      <c r="E20" s="225"/>
      <c r="F20" s="27">
        <v>16</v>
      </c>
      <c r="G20" s="115" t="s">
        <v>105</v>
      </c>
      <c r="H20" s="214" t="s">
        <v>230</v>
      </c>
      <c r="I20" s="214"/>
      <c r="J20" s="231"/>
      <c r="K20" s="232"/>
      <c r="M20" s="111">
        <f>[1]!IIPDropoutPreventionPrograms</f>
        <v>0</v>
      </c>
      <c r="N20" s="111">
        <v>0</v>
      </c>
      <c r="O20" s="115" t="s">
        <v>105</v>
      </c>
      <c r="P20" s="84"/>
      <c r="Q20" s="84"/>
      <c r="R20" s="217"/>
      <c r="S20" s="217"/>
      <c r="T20" s="84"/>
      <c r="U20" s="84"/>
      <c r="V20" s="84"/>
      <c r="W20" s="84"/>
      <c r="X20" s="84"/>
    </row>
    <row r="21" spans="1:24" ht="12" customHeight="1" thickBot="1">
      <c r="A21" s="115">
        <v>17</v>
      </c>
      <c r="B21" s="116" t="s">
        <v>70</v>
      </c>
      <c r="C21" s="116"/>
      <c r="D21" s="112">
        <f>[1]!FP13101399Other</f>
        <v>7564</v>
      </c>
      <c r="E21" s="529">
        <f>4232+8000</f>
        <v>12232</v>
      </c>
      <c r="F21" s="27">
        <v>17</v>
      </c>
      <c r="G21" s="115" t="s">
        <v>106</v>
      </c>
      <c r="H21" s="214" t="s">
        <v>231</v>
      </c>
      <c r="I21" s="214"/>
      <c r="J21" s="231"/>
      <c r="K21" s="232"/>
      <c r="M21" s="112">
        <f>[1]!IIPInstructionalImprovementPrograms</f>
        <v>25287</v>
      </c>
      <c r="N21" s="112">
        <v>25831</v>
      </c>
      <c r="O21" s="115" t="s">
        <v>106</v>
      </c>
      <c r="P21" s="84"/>
      <c r="Q21" s="84"/>
      <c r="R21" s="217"/>
      <c r="S21" s="217"/>
      <c r="T21" s="84"/>
      <c r="U21" s="84"/>
      <c r="V21" s="84"/>
      <c r="W21" s="84"/>
      <c r="X21" s="84"/>
    </row>
    <row r="22" spans="1:24" ht="12" customHeight="1" thickBot="1">
      <c r="A22" s="115">
        <v>18</v>
      </c>
      <c r="B22" s="117" t="s">
        <v>248</v>
      </c>
      <c r="C22" s="116"/>
      <c r="D22" s="114">
        <f>SUM(D5:D21)</f>
        <v>219548</v>
      </c>
      <c r="E22" s="114">
        <f>SUM(E5:E21)</f>
        <v>244863</v>
      </c>
      <c r="F22" s="27">
        <v>18</v>
      </c>
      <c r="G22" s="115" t="s">
        <v>107</v>
      </c>
      <c r="H22" s="120" t="s">
        <v>135</v>
      </c>
      <c r="I22" s="120"/>
      <c r="J22" s="116"/>
      <c r="K22" s="116"/>
      <c r="M22" s="114">
        <f>SUM(M18:M21)</f>
        <v>25287</v>
      </c>
      <c r="N22" s="114">
        <f>SUM(N18:N21)</f>
        <v>25831</v>
      </c>
      <c r="O22" s="115" t="s">
        <v>107</v>
      </c>
      <c r="P22" s="84"/>
      <c r="Q22" s="84"/>
      <c r="R22" s="217"/>
      <c r="S22" s="217"/>
      <c r="T22" s="84"/>
      <c r="U22" s="84"/>
      <c r="V22" s="84"/>
      <c r="W22" s="84"/>
      <c r="X22" s="84"/>
    </row>
    <row r="23" spans="1:24" ht="12" customHeight="1" thickTop="1">
      <c r="A23" s="118" t="s">
        <v>32</v>
      </c>
      <c r="B23" s="116"/>
      <c r="C23" s="116"/>
      <c r="D23" s="142"/>
      <c r="E23" s="143"/>
      <c r="F23" s="27"/>
      <c r="K23" s="230"/>
      <c r="P23" s="84"/>
      <c r="Q23" s="84"/>
      <c r="R23" s="217"/>
      <c r="S23" s="217"/>
      <c r="T23" s="84"/>
      <c r="U23" s="84"/>
      <c r="V23" s="84"/>
      <c r="W23" s="84"/>
      <c r="X23" s="84"/>
    </row>
    <row r="24" spans="1:24" ht="12" customHeight="1">
      <c r="A24" s="115">
        <v>19</v>
      </c>
      <c r="B24" s="116" t="s">
        <v>48</v>
      </c>
      <c r="C24" s="116"/>
      <c r="D24" s="22">
        <f>[1]!SP1400VocEd</f>
        <v>0</v>
      </c>
      <c r="E24" s="22"/>
      <c r="F24" s="27">
        <v>19</v>
      </c>
      <c r="H24" s="85" t="s">
        <v>57</v>
      </c>
      <c r="I24" s="29"/>
      <c r="J24" s="29"/>
      <c r="L24" s="209" t="s">
        <v>59</v>
      </c>
      <c r="M24" s="202"/>
      <c r="N24" s="202"/>
      <c r="O24" s="202"/>
      <c r="P24" s="84"/>
      <c r="Q24" s="84"/>
      <c r="R24" s="217"/>
      <c r="S24" s="217"/>
      <c r="T24" s="84"/>
      <c r="U24" s="84"/>
      <c r="V24" s="84"/>
      <c r="W24" s="84"/>
      <c r="X24" s="84"/>
    </row>
    <row r="25" spans="1:24" ht="12" customHeight="1">
      <c r="A25" s="115">
        <v>20</v>
      </c>
      <c r="B25" s="116" t="s">
        <v>67</v>
      </c>
      <c r="C25" s="116"/>
      <c r="D25" s="110">
        <f>[1]!SP1410EarlyChildhoodBlockGrant</f>
        <v>0</v>
      </c>
      <c r="E25" s="110"/>
      <c r="F25" s="27">
        <v>20</v>
      </c>
      <c r="H25" s="85" t="s">
        <v>58</v>
      </c>
      <c r="I25" s="29"/>
      <c r="J25" s="29"/>
      <c r="L25" s="29" t="s">
        <v>39</v>
      </c>
      <c r="M25" s="29"/>
      <c r="N25" s="29"/>
      <c r="P25" s="84"/>
      <c r="Q25" s="84"/>
      <c r="R25" s="217"/>
      <c r="S25" s="217"/>
      <c r="T25" s="84"/>
      <c r="U25" s="84"/>
      <c r="V25" s="84"/>
      <c r="W25" s="84"/>
      <c r="X25" s="84"/>
    </row>
    <row r="26" spans="1:24" ht="12" customHeight="1">
      <c r="A26" s="115">
        <v>21</v>
      </c>
      <c r="B26" s="117" t="s">
        <v>189</v>
      </c>
      <c r="C26" s="116"/>
      <c r="D26" s="110">
        <f>[1]!FP1420ExtendedSchool</f>
        <v>0</v>
      </c>
      <c r="E26" s="110"/>
      <c r="F26" s="27">
        <v>21</v>
      </c>
      <c r="H26" t="s">
        <v>36</v>
      </c>
      <c r="I26" s="36" t="s">
        <v>37</v>
      </c>
      <c r="J26" s="88">
        <v>16</v>
      </c>
      <c r="L26" s="42" t="s">
        <v>40</v>
      </c>
      <c r="N26" s="541">
        <v>3500</v>
      </c>
      <c r="P26" s="84"/>
      <c r="Q26" s="84"/>
      <c r="R26" s="217"/>
      <c r="S26" s="217"/>
      <c r="T26" s="84"/>
      <c r="U26" s="84"/>
      <c r="V26" s="84"/>
      <c r="W26" s="84"/>
      <c r="X26" s="84"/>
    </row>
    <row r="27" spans="1:24" ht="12" customHeight="1">
      <c r="A27" s="115">
        <v>22</v>
      </c>
      <c r="B27" s="116" t="s">
        <v>49</v>
      </c>
      <c r="C27" s="116"/>
      <c r="D27" s="110">
        <f>[1]!SP1425AdultBasicEd</f>
        <v>0</v>
      </c>
      <c r="E27" s="110"/>
      <c r="F27" s="27">
        <v>22</v>
      </c>
      <c r="G27" s="215"/>
      <c r="H27" t="s">
        <v>38</v>
      </c>
      <c r="I27" s="36" t="s">
        <v>37</v>
      </c>
      <c r="J27" s="241">
        <v>10</v>
      </c>
      <c r="K27" s="116"/>
      <c r="L27" s="106" t="s">
        <v>41</v>
      </c>
      <c r="N27" s="541">
        <f>SP1000P100F1000+SP1000P200F1000</f>
        <v>1540302</v>
      </c>
      <c r="O27" s="27"/>
      <c r="P27" s="84"/>
      <c r="Q27" s="84"/>
      <c r="R27" s="217"/>
      <c r="S27" s="217"/>
      <c r="T27" s="84"/>
      <c r="U27" s="84"/>
      <c r="V27" s="84"/>
      <c r="W27" s="84"/>
      <c r="X27" s="84"/>
    </row>
    <row r="28" spans="1:24" ht="12" customHeight="1">
      <c r="A28" s="115">
        <v>23</v>
      </c>
      <c r="B28" s="116" t="s">
        <v>50</v>
      </c>
      <c r="C28" s="116"/>
      <c r="D28" s="110">
        <f>[1]!SP1430ChemicalAbuse</f>
        <v>0</v>
      </c>
      <c r="E28" s="110"/>
      <c r="F28" s="27">
        <v>23</v>
      </c>
      <c r="I28" s="36"/>
      <c r="J28" s="89"/>
      <c r="L28" s="106"/>
      <c r="N28" s="109"/>
      <c r="P28" s="84"/>
      <c r="Q28" s="84"/>
      <c r="R28" s="84"/>
      <c r="S28" s="84"/>
      <c r="T28" s="84"/>
      <c r="U28" s="84"/>
      <c r="V28" s="84"/>
      <c r="W28" s="84"/>
      <c r="X28" s="84"/>
    </row>
    <row r="29" spans="1:24" ht="12" customHeight="1">
      <c r="A29" s="115">
        <v>24</v>
      </c>
      <c r="B29" s="116" t="s">
        <v>51</v>
      </c>
      <c r="C29" s="116"/>
      <c r="D29" s="110">
        <f>[1]!SP1435AcademicContests</f>
        <v>0</v>
      </c>
      <c r="E29" s="110"/>
      <c r="F29" s="27">
        <v>24</v>
      </c>
      <c r="H29" s="210" t="s">
        <v>217</v>
      </c>
      <c r="I29" s="201"/>
      <c r="J29" s="201"/>
      <c r="K29" s="201"/>
      <c r="L29" s="201"/>
      <c r="M29" s="201"/>
      <c r="P29" s="84"/>
      <c r="Q29" s="84"/>
      <c r="R29" s="84"/>
      <c r="S29" s="84"/>
      <c r="T29" s="84"/>
      <c r="U29" s="84"/>
      <c r="V29" s="84"/>
      <c r="W29" s="84"/>
      <c r="X29" s="84"/>
    </row>
    <row r="30" spans="1:24" ht="12" customHeight="1">
      <c r="A30" s="115">
        <v>25</v>
      </c>
      <c r="B30" s="116" t="s">
        <v>153</v>
      </c>
      <c r="C30" s="116"/>
      <c r="D30" s="110">
        <f>[1]!SP1450GiftedEd</f>
        <v>0</v>
      </c>
      <c r="E30" s="110"/>
      <c r="F30" s="27">
        <v>25</v>
      </c>
      <c r="H30" s="210" t="s">
        <v>218</v>
      </c>
      <c r="I30" s="201"/>
      <c r="J30" s="201"/>
      <c r="K30" s="201"/>
      <c r="L30" s="201"/>
      <c r="M30" s="201"/>
      <c r="O30" s="87"/>
      <c r="P30" s="84"/>
      <c r="Q30" s="84"/>
      <c r="R30" s="84"/>
      <c r="S30" s="84"/>
      <c r="T30" s="84"/>
      <c r="U30" s="84"/>
      <c r="V30" s="84"/>
      <c r="W30" s="84"/>
      <c r="X30" s="84"/>
    </row>
    <row r="31" spans="1:24" ht="12" customHeight="1">
      <c r="A31" s="115">
        <v>26</v>
      </c>
      <c r="B31" s="214" t="s">
        <v>274</v>
      </c>
      <c r="C31" s="214"/>
      <c r="D31" s="110">
        <f>'[1]Page 2'!$E$31</f>
        <v>0</v>
      </c>
      <c r="E31" s="110"/>
      <c r="F31" s="27">
        <v>26</v>
      </c>
      <c r="H31" s="117" t="s">
        <v>215</v>
      </c>
      <c r="K31" s="29"/>
      <c r="M31" s="242"/>
      <c r="O31" s="87"/>
      <c r="P31" s="84"/>
      <c r="Q31" s="84"/>
      <c r="R31" s="84"/>
      <c r="S31" s="84"/>
      <c r="T31" s="84"/>
      <c r="U31" s="84"/>
      <c r="V31" s="84"/>
      <c r="W31" s="84"/>
      <c r="X31" s="84"/>
    </row>
    <row r="32" spans="1:24" ht="12" customHeight="1">
      <c r="A32" s="115">
        <v>27</v>
      </c>
      <c r="B32" s="214" t="s">
        <v>275</v>
      </c>
      <c r="C32" s="214"/>
      <c r="D32" s="110">
        <f>'[1]Page 2'!$E$32</f>
        <v>0</v>
      </c>
      <c r="E32" s="110"/>
      <c r="F32" s="27">
        <v>27</v>
      </c>
      <c r="H32" s="117" t="s">
        <v>216</v>
      </c>
      <c r="M32" s="242"/>
      <c r="N32" s="541">
        <v>11651</v>
      </c>
      <c r="O32" s="87"/>
      <c r="P32" s="84"/>
      <c r="Q32" s="84"/>
      <c r="R32" s="84"/>
      <c r="S32" s="84"/>
      <c r="T32" s="84"/>
      <c r="U32" s="84"/>
      <c r="V32" s="84"/>
      <c r="W32" s="84"/>
      <c r="X32" s="84"/>
    </row>
    <row r="33" spans="1:24" ht="12" customHeight="1">
      <c r="A33" s="115">
        <v>28</v>
      </c>
      <c r="B33" s="116" t="s">
        <v>52</v>
      </c>
      <c r="C33" s="116"/>
      <c r="D33" s="110">
        <f>[1]!SP1460EnvironmentalSpecialPlate</f>
        <v>0</v>
      </c>
      <c r="E33" s="110"/>
      <c r="F33" s="27">
        <v>28</v>
      </c>
      <c r="H33" s="117"/>
      <c r="K33" s="29"/>
      <c r="P33" s="84"/>
      <c r="Q33" s="84"/>
      <c r="R33" s="84"/>
      <c r="S33" s="84"/>
      <c r="T33" s="84"/>
      <c r="U33" s="84"/>
      <c r="V33" s="84"/>
      <c r="W33" s="84"/>
      <c r="X33" s="84"/>
    </row>
    <row r="34" spans="1:24" ht="12" customHeight="1">
      <c r="A34" s="115">
        <v>29</v>
      </c>
      <c r="B34" s="116" t="s">
        <v>71</v>
      </c>
      <c r="C34" s="116"/>
      <c r="D34" s="110">
        <f>[1]!SP1465CharterSchool</f>
        <v>0</v>
      </c>
      <c r="E34" s="110"/>
      <c r="F34" s="27">
        <v>29</v>
      </c>
      <c r="H34" s="117"/>
      <c r="N34" s="109"/>
      <c r="P34" s="84"/>
      <c r="Q34" s="84"/>
      <c r="R34" s="84"/>
      <c r="S34" s="84"/>
      <c r="T34" s="84"/>
      <c r="U34" s="84"/>
      <c r="V34" s="84"/>
      <c r="W34" s="84"/>
      <c r="X34" s="84"/>
    </row>
    <row r="35" spans="1:24" ht="12" customHeight="1" thickBot="1">
      <c r="A35" s="115">
        <v>30</v>
      </c>
      <c r="B35" t="s">
        <v>72</v>
      </c>
      <c r="D35" s="110">
        <f>[1]!SP14701499Other</f>
        <v>0</v>
      </c>
      <c r="E35" s="110"/>
      <c r="F35" s="27">
        <v>30</v>
      </c>
      <c r="H35" s="247"/>
      <c r="I35" s="248"/>
      <c r="J35" s="247"/>
      <c r="K35" s="248"/>
      <c r="L35" s="247"/>
      <c r="M35" s="248"/>
      <c r="N35" s="249"/>
      <c r="P35" s="84"/>
      <c r="Q35" s="84"/>
      <c r="R35" s="84"/>
      <c r="S35" s="84"/>
      <c r="T35" s="84"/>
      <c r="U35" s="84"/>
      <c r="V35" s="84"/>
      <c r="W35" s="84"/>
      <c r="X35" s="84"/>
    </row>
    <row r="36" spans="1:24" ht="12" customHeight="1" thickBot="1">
      <c r="A36" s="115">
        <v>31</v>
      </c>
      <c r="B36" s="117" t="s">
        <v>278</v>
      </c>
      <c r="C36" s="116"/>
      <c r="D36" s="113">
        <f>SUM(D24:D35)</f>
        <v>0</v>
      </c>
      <c r="E36" s="113">
        <f>SUM(E23:E35)</f>
        <v>0</v>
      </c>
      <c r="F36" s="27">
        <v>31</v>
      </c>
      <c r="G36" s="115"/>
      <c r="H36" s="230"/>
      <c r="I36" s="230"/>
      <c r="J36" s="230"/>
      <c r="K36" s="230"/>
      <c r="L36" s="230"/>
      <c r="M36" s="230"/>
      <c r="N36" s="109"/>
      <c r="O36" s="115"/>
      <c r="P36" s="84"/>
      <c r="Q36" s="84"/>
      <c r="R36" s="84"/>
      <c r="S36" s="84"/>
      <c r="T36" s="84"/>
      <c r="U36" s="84"/>
      <c r="V36" s="84"/>
      <c r="W36" s="84"/>
      <c r="X36" s="84"/>
    </row>
    <row r="37" spans="1:24" ht="12" customHeight="1" thickBot="1" thickTop="1">
      <c r="A37" s="215">
        <v>32</v>
      </c>
      <c r="B37" s="117" t="s">
        <v>279</v>
      </c>
      <c r="C37" s="116"/>
      <c r="D37" s="114">
        <f>D22+D36</f>
        <v>219548</v>
      </c>
      <c r="E37" s="114">
        <f>E22+E36</f>
        <v>244863</v>
      </c>
      <c r="F37" s="27">
        <v>32</v>
      </c>
      <c r="G37" s="115"/>
      <c r="H37" s="230"/>
      <c r="I37" s="230"/>
      <c r="J37" s="230"/>
      <c r="K37" s="230"/>
      <c r="L37" s="230"/>
      <c r="M37" s="230"/>
      <c r="N37" s="109"/>
      <c r="O37" s="115"/>
      <c r="P37" s="84"/>
      <c r="Q37" s="84"/>
      <c r="R37" s="84"/>
      <c r="S37" s="84"/>
      <c r="T37" s="84"/>
      <c r="U37" s="84"/>
      <c r="V37" s="84"/>
      <c r="W37" s="84"/>
      <c r="X37" s="84"/>
    </row>
    <row r="38" spans="1:24" ht="12" customHeight="1" thickTop="1">
      <c r="A38" s="86"/>
      <c r="F38" s="27"/>
      <c r="G38" s="115"/>
      <c r="H38" s="230"/>
      <c r="I38" s="230"/>
      <c r="J38" s="116"/>
      <c r="K38" s="122"/>
      <c r="L38" s="230"/>
      <c r="M38" s="230"/>
      <c r="N38" s="109"/>
      <c r="O38" s="115"/>
      <c r="P38" s="84"/>
      <c r="Q38" s="84"/>
      <c r="R38" s="84"/>
      <c r="S38" s="84"/>
      <c r="T38" s="84"/>
      <c r="U38" s="84"/>
      <c r="V38" s="84"/>
      <c r="W38" s="84"/>
      <c r="X38" s="84"/>
    </row>
    <row r="39" spans="2:24" ht="13.5" customHeight="1">
      <c r="B39" s="216" t="s">
        <v>60</v>
      </c>
      <c r="C39" s="209"/>
      <c r="D39" s="105" t="s">
        <v>243</v>
      </c>
      <c r="E39" s="105" t="s">
        <v>55</v>
      </c>
      <c r="F39" s="27"/>
      <c r="G39" s="115"/>
      <c r="H39" s="230"/>
      <c r="I39" s="230"/>
      <c r="J39" s="116"/>
      <c r="K39" s="122"/>
      <c r="L39" s="230"/>
      <c r="M39" s="230"/>
      <c r="N39" s="109"/>
      <c r="O39" s="115"/>
      <c r="P39" s="84"/>
      <c r="Q39" s="84"/>
      <c r="R39" s="84"/>
      <c r="S39" s="84"/>
      <c r="T39" s="84"/>
      <c r="U39" s="84"/>
      <c r="V39" s="84"/>
      <c r="W39" s="84"/>
      <c r="X39" s="84"/>
    </row>
    <row r="40" spans="1:24" ht="12.75">
      <c r="A40" s="119">
        <v>1</v>
      </c>
      <c r="B40" s="116" t="s">
        <v>170</v>
      </c>
      <c r="D40" s="22">
        <f>[1]!CA0191Land</f>
        <v>0</v>
      </c>
      <c r="E40" s="23"/>
      <c r="F40" s="27">
        <v>1</v>
      </c>
      <c r="G40" s="115"/>
      <c r="N40" s="109"/>
      <c r="O40" s="115"/>
      <c r="P40" s="84"/>
      <c r="Q40" s="84"/>
      <c r="R40" s="84"/>
      <c r="S40" s="84"/>
      <c r="T40" s="84"/>
      <c r="U40" s="84"/>
      <c r="V40" s="84"/>
      <c r="W40" s="84"/>
      <c r="X40" s="84"/>
    </row>
    <row r="41" spans="1:24" ht="12" customHeight="1">
      <c r="A41" s="119">
        <v>2</v>
      </c>
      <c r="B41" s="116" t="s">
        <v>154</v>
      </c>
      <c r="D41" s="22">
        <f>[1]!CA0192SiteImprovements</f>
        <v>0</v>
      </c>
      <c r="E41" s="22"/>
      <c r="F41" s="27">
        <v>2</v>
      </c>
      <c r="G41" s="115"/>
      <c r="H41" s="230"/>
      <c r="I41" s="230"/>
      <c r="J41" s="116"/>
      <c r="K41" s="122"/>
      <c r="L41" s="230"/>
      <c r="M41" s="230"/>
      <c r="N41" s="109"/>
      <c r="O41" s="115"/>
      <c r="P41" s="84"/>
      <c r="Q41" s="84"/>
      <c r="R41" s="84"/>
      <c r="S41" s="84"/>
      <c r="T41" s="84"/>
      <c r="U41" s="84"/>
      <c r="V41" s="84"/>
      <c r="W41" s="84"/>
      <c r="X41" s="84"/>
    </row>
    <row r="42" spans="1:16" ht="12" customHeight="1">
      <c r="A42" s="119">
        <v>3</v>
      </c>
      <c r="B42" s="116" t="s">
        <v>155</v>
      </c>
      <c r="D42" s="22">
        <f>[1]!CA0194Buildings</f>
        <v>0</v>
      </c>
      <c r="E42" s="22"/>
      <c r="F42" s="27">
        <v>3</v>
      </c>
      <c r="G42" s="243"/>
      <c r="H42" s="230"/>
      <c r="I42" s="230"/>
      <c r="J42" s="116"/>
      <c r="K42" s="122"/>
      <c r="L42" s="230"/>
      <c r="M42" s="230"/>
      <c r="N42" s="109"/>
      <c r="O42" s="243"/>
      <c r="P42" s="84"/>
    </row>
    <row r="43" spans="1:15" ht="12" customHeight="1">
      <c r="A43" s="119">
        <v>4</v>
      </c>
      <c r="B43" s="116" t="s">
        <v>156</v>
      </c>
      <c r="D43" s="22">
        <f>[1]!CA0196Equipment</f>
        <v>10200</v>
      </c>
      <c r="E43" s="22">
        <v>3500</v>
      </c>
      <c r="F43" s="27">
        <v>4</v>
      </c>
      <c r="G43" s="243"/>
      <c r="H43" s="230"/>
      <c r="I43" s="230"/>
      <c r="J43" s="116"/>
      <c r="K43" s="122"/>
      <c r="L43" s="230"/>
      <c r="M43" s="230"/>
      <c r="N43" s="109"/>
      <c r="O43" s="243"/>
    </row>
    <row r="44" spans="1:15" ht="12" customHeight="1" thickBot="1">
      <c r="A44" s="119">
        <v>5</v>
      </c>
      <c r="B44" s="116" t="s">
        <v>157</v>
      </c>
      <c r="D44" s="90">
        <f>[1]!CA0198CIP</f>
        <v>0</v>
      </c>
      <c r="E44" s="90"/>
      <c r="F44" s="27">
        <v>5</v>
      </c>
      <c r="G44" s="243"/>
      <c r="H44" s="84"/>
      <c r="N44" s="122"/>
      <c r="O44" s="243"/>
    </row>
    <row r="45" spans="1:14" ht="12" customHeight="1" thickBot="1">
      <c r="A45" s="215">
        <v>6</v>
      </c>
      <c r="B45" s="116" t="s">
        <v>158</v>
      </c>
      <c r="D45" s="114">
        <f>SUM(D40:D44)</f>
        <v>10200</v>
      </c>
      <c r="E45" s="114">
        <f>SUM(E40:E44)</f>
        <v>3500</v>
      </c>
      <c r="F45" s="27">
        <v>6</v>
      </c>
      <c r="H45" s="84"/>
      <c r="N45" s="109"/>
    </row>
    <row r="46" ht="6" customHeight="1" thickTop="1"/>
    <row r="47" spans="1:14" ht="27" customHeight="1">
      <c r="A47" s="182">
        <v>7</v>
      </c>
      <c r="B47" s="614" t="s">
        <v>214</v>
      </c>
      <c r="C47" s="615"/>
      <c r="D47" s="23">
        <f>[1]!CAK3Reading</f>
        <v>0</v>
      </c>
      <c r="E47" s="23">
        <v>0</v>
      </c>
      <c r="F47" s="27">
        <v>7</v>
      </c>
      <c r="N47" s="109"/>
    </row>
    <row r="48" ht="12" customHeight="1"/>
    <row r="51" ht="12.75" customHeight="1">
      <c r="I51" s="13"/>
    </row>
  </sheetData>
  <sheetProtection/>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3">
      <selection activeCell="R33" sqref="R33"/>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6" t="str">
        <f>Cover!D1</f>
        <v>Edkey, Inc.</v>
      </c>
      <c r="E1" s="13"/>
      <c r="F1" s="39" t="s">
        <v>53</v>
      </c>
      <c r="G1" s="31" t="str">
        <f>Cover!M1</f>
        <v>Yavapia</v>
      </c>
      <c r="H1" s="76"/>
      <c r="I1" s="76"/>
      <c r="J1" s="76"/>
      <c r="K1" s="39" t="s">
        <v>89</v>
      </c>
      <c r="L1" s="204" t="str">
        <f>Cover!R1</f>
        <v>138754000</v>
      </c>
      <c r="M1" s="76"/>
    </row>
    <row r="2" spans="1:11" ht="3" customHeight="1">
      <c r="A2" s="47"/>
      <c r="B2" s="47"/>
      <c r="C2" s="47"/>
      <c r="D2" s="47"/>
      <c r="E2" s="47"/>
      <c r="F2" s="47"/>
      <c r="G2" s="47"/>
      <c r="H2" s="47"/>
      <c r="I2" s="47"/>
      <c r="J2" s="47"/>
      <c r="K2" s="47"/>
    </row>
    <row r="3" spans="1:11" ht="10.5" customHeight="1">
      <c r="A3" s="47"/>
      <c r="B3" s="47"/>
      <c r="C3" s="47"/>
      <c r="D3" s="47"/>
      <c r="E3" s="47"/>
      <c r="F3" s="47"/>
      <c r="G3" s="47"/>
      <c r="H3" s="47"/>
      <c r="I3" s="47"/>
      <c r="J3" s="47"/>
      <c r="K3" s="47"/>
    </row>
    <row r="4" spans="1:12" ht="10.5" customHeight="1">
      <c r="A4" s="77"/>
      <c r="B4" s="78"/>
      <c r="C4" s="78"/>
      <c r="D4" s="619"/>
      <c r="E4" s="52"/>
      <c r="F4" s="79"/>
      <c r="G4" s="72" t="s">
        <v>94</v>
      </c>
      <c r="H4" s="124" t="s">
        <v>14</v>
      </c>
      <c r="I4" s="54"/>
      <c r="J4" s="617" t="s">
        <v>61</v>
      </c>
      <c r="K4" s="618"/>
      <c r="L4" s="54" t="s">
        <v>63</v>
      </c>
    </row>
    <row r="5" spans="1:12" ht="10.5" customHeight="1">
      <c r="A5" s="4" t="s">
        <v>92</v>
      </c>
      <c r="D5" s="609"/>
      <c r="E5" s="57"/>
      <c r="F5" s="60" t="s">
        <v>15</v>
      </c>
      <c r="G5" s="73" t="s">
        <v>16</v>
      </c>
      <c r="H5" s="123" t="s">
        <v>17</v>
      </c>
      <c r="I5" s="60" t="s">
        <v>18</v>
      </c>
      <c r="J5" s="220" t="s">
        <v>243</v>
      </c>
      <c r="K5" s="220" t="s">
        <v>55</v>
      </c>
      <c r="L5" s="60" t="s">
        <v>64</v>
      </c>
    </row>
    <row r="6" spans="1:12" ht="10.5" customHeight="1">
      <c r="A6" s="70"/>
      <c r="B6" s="26"/>
      <c r="C6" s="26"/>
      <c r="D6" s="26"/>
      <c r="E6" s="74"/>
      <c r="F6" s="63">
        <v>6100</v>
      </c>
      <c r="G6" s="75">
        <v>6200</v>
      </c>
      <c r="H6" s="123" t="s">
        <v>250</v>
      </c>
      <c r="I6" s="60">
        <v>6600</v>
      </c>
      <c r="J6" s="220">
        <v>2019</v>
      </c>
      <c r="K6" s="220">
        <v>2020</v>
      </c>
      <c r="L6" s="60" t="s">
        <v>65</v>
      </c>
    </row>
    <row r="7" spans="1:14" ht="10.5" customHeight="1">
      <c r="A7" s="211" t="s">
        <v>91</v>
      </c>
      <c r="B7" s="200"/>
      <c r="C7" s="200"/>
      <c r="D7" s="200"/>
      <c r="F7" s="96"/>
      <c r="G7" s="98"/>
      <c r="H7" s="235"/>
      <c r="I7" s="235"/>
      <c r="J7" s="516"/>
      <c r="K7" s="98"/>
      <c r="L7" s="53"/>
      <c r="M7" s="14"/>
      <c r="N7" s="80"/>
    </row>
    <row r="8" spans="1:14" ht="10.5" customHeight="1">
      <c r="A8" s="64"/>
      <c r="B8" s="12" t="s">
        <v>21</v>
      </c>
      <c r="E8" s="3"/>
      <c r="F8" s="126"/>
      <c r="G8" s="132"/>
      <c r="H8" s="226"/>
      <c r="I8" s="226"/>
      <c r="J8" s="517"/>
      <c r="K8" s="132"/>
      <c r="L8" s="125"/>
      <c r="M8" s="14"/>
      <c r="N8" s="80"/>
    </row>
    <row r="9" spans="1:14" ht="10.5" customHeight="1">
      <c r="A9" s="64"/>
      <c r="C9" s="12" t="s">
        <v>22</v>
      </c>
      <c r="D9" s="197"/>
      <c r="E9" s="3">
        <v>1</v>
      </c>
      <c r="F9" s="525">
        <f>26976+3000</f>
        <v>29976</v>
      </c>
      <c r="G9" s="526">
        <f>8629+500</f>
        <v>9129</v>
      </c>
      <c r="H9" s="95"/>
      <c r="I9" s="95"/>
      <c r="J9" s="93">
        <f>[1]!CSP1011P100F1000</f>
        <v>37283</v>
      </c>
      <c r="K9" s="130">
        <f>SUM(F7:G9)</f>
        <v>39105</v>
      </c>
      <c r="L9" s="10">
        <f>IF(J9=0," ",(K9-J9)/J9)</f>
        <v>0.049</v>
      </c>
      <c r="M9" s="81" t="s">
        <v>43</v>
      </c>
      <c r="N9" s="80"/>
    </row>
    <row r="10" spans="1:14" ht="10.5" customHeight="1">
      <c r="A10" s="64"/>
      <c r="C10" s="12" t="s">
        <v>95</v>
      </c>
      <c r="E10" s="3">
        <v>2</v>
      </c>
      <c r="F10" s="20"/>
      <c r="G10" s="20"/>
      <c r="H10" s="95"/>
      <c r="I10" s="95"/>
      <c r="J10" s="20">
        <f>[1]!CSP1011P100F2100</f>
        <v>0</v>
      </c>
      <c r="K10" s="6">
        <f>SUM(F10:G10)</f>
        <v>0</v>
      </c>
      <c r="L10" s="10" t="str">
        <f>IF(J10=0," ",(K10-J10)/J10)</f>
        <v> </v>
      </c>
      <c r="M10" s="81" t="s">
        <v>44</v>
      </c>
      <c r="N10" s="80"/>
    </row>
    <row r="11" spans="1:14" ht="10.5" customHeight="1">
      <c r="A11" s="64"/>
      <c r="C11" s="12" t="s">
        <v>159</v>
      </c>
      <c r="E11" s="3">
        <v>3</v>
      </c>
      <c r="F11" s="20"/>
      <c r="G11" s="20"/>
      <c r="H11" s="95"/>
      <c r="I11" s="95"/>
      <c r="J11" s="20">
        <f>[1]!CSP1011P100F2200</f>
        <v>0</v>
      </c>
      <c r="K11" s="6">
        <f>SUM(F11:G11)</f>
        <v>0</v>
      </c>
      <c r="L11" s="10" t="str">
        <f>IF(J11=0," ",(K11-J11)/J11)</f>
        <v> </v>
      </c>
      <c r="M11" s="81" t="s">
        <v>105</v>
      </c>
      <c r="N11" s="80"/>
    </row>
    <row r="12" spans="1:13" ht="10.5" customHeight="1">
      <c r="A12" s="70"/>
      <c r="B12" s="26" t="s">
        <v>96</v>
      </c>
      <c r="C12" s="26"/>
      <c r="D12" s="26"/>
      <c r="E12" s="5">
        <v>4</v>
      </c>
      <c r="F12" s="6">
        <f>SUM(F7:F11)</f>
        <v>29976</v>
      </c>
      <c r="G12" s="6">
        <f>SUM(G7:G11)</f>
        <v>9129</v>
      </c>
      <c r="H12" s="236"/>
      <c r="I12" s="236"/>
      <c r="J12" s="126">
        <f>SUM(J8:J11)</f>
        <v>37283</v>
      </c>
      <c r="K12" s="126">
        <f>SUM(K8:K11)</f>
        <v>39105</v>
      </c>
      <c r="L12" s="125">
        <f>IF(J12=0," ",(K12-J12)/J12)</f>
        <v>0.049</v>
      </c>
      <c r="M12" s="82" t="s">
        <v>106</v>
      </c>
    </row>
    <row r="13" spans="1:14" ht="10.5" customHeight="1">
      <c r="A13" s="64"/>
      <c r="B13" s="12" t="s">
        <v>28</v>
      </c>
      <c r="E13" s="3"/>
      <c r="F13" s="96"/>
      <c r="G13" s="98"/>
      <c r="H13" s="235"/>
      <c r="I13" s="235"/>
      <c r="J13" s="516"/>
      <c r="K13" s="98"/>
      <c r="L13" s="53"/>
      <c r="M13" s="81"/>
      <c r="N13" s="80"/>
    </row>
    <row r="14" spans="1:14" ht="10.5" customHeight="1">
      <c r="A14" s="64"/>
      <c r="C14" s="12" t="s">
        <v>22</v>
      </c>
      <c r="E14" s="3">
        <v>5</v>
      </c>
      <c r="F14" s="20"/>
      <c r="G14" s="129"/>
      <c r="H14" s="95"/>
      <c r="I14" s="95"/>
      <c r="J14" s="93">
        <f>[1]!CSP1011P200F1000</f>
        <v>0</v>
      </c>
      <c r="K14" s="130">
        <f>SUM(F13:G14)</f>
        <v>0</v>
      </c>
      <c r="L14" s="10" t="str">
        <f>IF(J14=0," ",(K14-J14)/J14)</f>
        <v> </v>
      </c>
      <c r="M14" s="81" t="s">
        <v>107</v>
      </c>
      <c r="N14" s="80"/>
    </row>
    <row r="15" spans="1:14" ht="10.5" customHeight="1">
      <c r="A15" s="64"/>
      <c r="C15" s="12" t="s">
        <v>95</v>
      </c>
      <c r="E15" s="3">
        <v>6</v>
      </c>
      <c r="F15" s="21"/>
      <c r="G15" s="21"/>
      <c r="H15" s="95"/>
      <c r="I15" s="95"/>
      <c r="J15" s="20">
        <f>[1]!CSP1011P200F2100</f>
        <v>0</v>
      </c>
      <c r="K15" s="6">
        <f>SUM(F15:G15)</f>
        <v>0</v>
      </c>
      <c r="L15" s="10" t="str">
        <f>IF(J15=0," ",(K15-J15)/J15)</f>
        <v> </v>
      </c>
      <c r="M15" s="81" t="s">
        <v>108</v>
      </c>
      <c r="N15" s="80"/>
    </row>
    <row r="16" spans="1:14" ht="10.5" customHeight="1">
      <c r="A16" s="64"/>
      <c r="C16" s="12" t="s">
        <v>159</v>
      </c>
      <c r="E16" s="3">
        <v>7</v>
      </c>
      <c r="F16" s="21"/>
      <c r="G16" s="21"/>
      <c r="H16" s="95"/>
      <c r="I16" s="95"/>
      <c r="J16" s="21">
        <f>[1]!CSP1011P200F2200</f>
        <v>0</v>
      </c>
      <c r="K16" s="15">
        <f>SUM(F16:G16)</f>
        <v>0</v>
      </c>
      <c r="L16" s="10" t="str">
        <f>IF(J16=0," ",(K16-J16)/J16)</f>
        <v> </v>
      </c>
      <c r="M16" s="81" t="s">
        <v>109</v>
      </c>
      <c r="N16" s="80"/>
    </row>
    <row r="17" spans="1:14" ht="10.5" customHeight="1">
      <c r="A17" s="70"/>
      <c r="B17" s="26" t="s">
        <v>97</v>
      </c>
      <c r="C17" s="26"/>
      <c r="D17" s="26"/>
      <c r="E17" s="5">
        <v>8</v>
      </c>
      <c r="F17" s="15">
        <f>SUM(F13:F16)</f>
        <v>0</v>
      </c>
      <c r="G17" s="15">
        <f>SUM(G13:G16)</f>
        <v>0</v>
      </c>
      <c r="H17" s="226"/>
      <c r="I17" s="226"/>
      <c r="J17" s="96">
        <f>SUM(J14:J16)</f>
        <v>0</v>
      </c>
      <c r="K17" s="96">
        <f>SUM(K14:K16)</f>
        <v>0</v>
      </c>
      <c r="L17" s="125" t="str">
        <f>IF(J17=0," ",(K17-J17)/J17)</f>
        <v> </v>
      </c>
      <c r="M17" s="81" t="s">
        <v>110</v>
      </c>
      <c r="N17" s="80"/>
    </row>
    <row r="18" spans="1:13" ht="10.5" customHeight="1">
      <c r="A18" s="64"/>
      <c r="B18" s="83" t="s">
        <v>98</v>
      </c>
      <c r="E18" s="3"/>
      <c r="F18" s="96"/>
      <c r="G18" s="98"/>
      <c r="H18" s="235"/>
      <c r="I18" s="235"/>
      <c r="J18" s="516"/>
      <c r="K18" s="98"/>
      <c r="L18" s="53"/>
      <c r="M18" s="82"/>
    </row>
    <row r="19" spans="1:14" ht="10.5" customHeight="1">
      <c r="A19" s="64"/>
      <c r="C19" s="12" t="s">
        <v>22</v>
      </c>
      <c r="E19" s="3">
        <v>9</v>
      </c>
      <c r="F19" s="20"/>
      <c r="G19" s="129"/>
      <c r="H19" s="95"/>
      <c r="I19" s="95"/>
      <c r="J19" s="93">
        <f>[1]!CSP1011POtherF1000</f>
        <v>0</v>
      </c>
      <c r="K19" s="130">
        <f>SUM(F18:G19)</f>
        <v>0</v>
      </c>
      <c r="L19" s="10" t="str">
        <f>IF(J19=0," ",(K19-J19)/J19)</f>
        <v> </v>
      </c>
      <c r="M19" s="81" t="s">
        <v>111</v>
      </c>
      <c r="N19" s="80"/>
    </row>
    <row r="20" spans="1:14" ht="10.5" customHeight="1">
      <c r="A20" s="64"/>
      <c r="C20" s="12" t="s">
        <v>95</v>
      </c>
      <c r="E20" s="3">
        <v>10</v>
      </c>
      <c r="F20" s="21"/>
      <c r="G20" s="21"/>
      <c r="H20" s="95"/>
      <c r="I20" s="95"/>
      <c r="J20" s="20">
        <f>[1]!CSP1011POtherF2100</f>
        <v>0</v>
      </c>
      <c r="K20" s="6">
        <f>SUM(F20:G20)</f>
        <v>0</v>
      </c>
      <c r="L20" s="10" t="str">
        <f>IF(J20=0," ",(K20-J20)/J20)</f>
        <v> </v>
      </c>
      <c r="M20" s="81" t="s">
        <v>112</v>
      </c>
      <c r="N20" s="80"/>
    </row>
    <row r="21" spans="1:14" ht="10.5" customHeight="1">
      <c r="A21" s="64"/>
      <c r="C21" s="12" t="s">
        <v>159</v>
      </c>
      <c r="E21" s="3">
        <v>11</v>
      </c>
      <c r="F21" s="21"/>
      <c r="G21" s="21"/>
      <c r="H21" s="95"/>
      <c r="I21" s="95"/>
      <c r="J21" s="21">
        <f>[1]!CSP1011POtherF2200</f>
        <v>0</v>
      </c>
      <c r="K21" s="15">
        <f>SUM(F21:G21)</f>
        <v>0</v>
      </c>
      <c r="L21" s="10" t="str">
        <f>IF(J21=0," ",(K21-J21)/J21)</f>
        <v> </v>
      </c>
      <c r="M21" s="81" t="s">
        <v>113</v>
      </c>
      <c r="N21" s="80"/>
    </row>
    <row r="22" spans="1:14" ht="10.5" customHeight="1">
      <c r="A22" s="70"/>
      <c r="B22" s="26" t="s">
        <v>99</v>
      </c>
      <c r="C22" s="26"/>
      <c r="D22" s="26"/>
      <c r="E22" s="5">
        <v>12</v>
      </c>
      <c r="F22" s="15">
        <f>SUM(F18:F21)</f>
        <v>0</v>
      </c>
      <c r="G22" s="15">
        <f>SUM(G18:G21)</f>
        <v>0</v>
      </c>
      <c r="H22" s="95"/>
      <c r="I22" s="95"/>
      <c r="J22" s="15">
        <f>SUM(J19:J21)</f>
        <v>0</v>
      </c>
      <c r="K22" s="15">
        <f>SUM(K19:K21)</f>
        <v>0</v>
      </c>
      <c r="L22" s="10" t="str">
        <f>IF(J22=0," ",(K22-J22)/J22)</f>
        <v> </v>
      </c>
      <c r="M22" s="81" t="s">
        <v>114</v>
      </c>
      <c r="N22" s="80"/>
    </row>
    <row r="23" spans="1:14" ht="12.75" customHeight="1">
      <c r="A23" s="70" t="s">
        <v>100</v>
      </c>
      <c r="B23" s="26"/>
      <c r="C23" s="26"/>
      <c r="D23" s="26"/>
      <c r="E23" s="5">
        <v>13</v>
      </c>
      <c r="F23" s="15">
        <f>F12+F17+F22</f>
        <v>29976</v>
      </c>
      <c r="G23" s="15">
        <f>G12+G17+G22</f>
        <v>9129</v>
      </c>
      <c r="H23" s="226"/>
      <c r="I23" s="226"/>
      <c r="J23" s="15">
        <f>J12+J17+J22</f>
        <v>37283</v>
      </c>
      <c r="K23" s="15">
        <f>K12+K17+K22</f>
        <v>39105</v>
      </c>
      <c r="L23" s="10">
        <f>IF(J23=0," ",(K23-J23)/J23)</f>
        <v>0.049</v>
      </c>
      <c r="M23" s="81" t="s">
        <v>115</v>
      </c>
      <c r="N23" s="80"/>
    </row>
    <row r="24" spans="1:14" ht="10.5" customHeight="1">
      <c r="A24" s="211" t="s">
        <v>93</v>
      </c>
      <c r="B24" s="200"/>
      <c r="C24" s="200"/>
      <c r="D24" s="200"/>
      <c r="F24" s="126"/>
      <c r="G24" s="132"/>
      <c r="H24" s="237"/>
      <c r="I24" s="235"/>
      <c r="J24" s="516"/>
      <c r="K24" s="98"/>
      <c r="L24" s="53"/>
      <c r="M24" s="81"/>
      <c r="N24" s="80"/>
    </row>
    <row r="25" spans="1:14" ht="10.5" customHeight="1">
      <c r="A25" s="64"/>
      <c r="B25" s="12" t="s">
        <v>21</v>
      </c>
      <c r="E25" s="3"/>
      <c r="F25" s="126"/>
      <c r="G25" s="132"/>
      <c r="H25" s="238"/>
      <c r="I25" s="226"/>
      <c r="J25" s="517"/>
      <c r="K25" s="132"/>
      <c r="L25" s="125"/>
      <c r="M25" s="81"/>
      <c r="N25" s="80"/>
    </row>
    <row r="26" spans="1:14" ht="10.5" customHeight="1">
      <c r="A26" s="64"/>
      <c r="C26" s="12" t="s">
        <v>22</v>
      </c>
      <c r="E26" s="3">
        <v>14</v>
      </c>
      <c r="F26" s="20">
        <v>64880</v>
      </c>
      <c r="G26" s="129">
        <v>13558</v>
      </c>
      <c r="H26" s="239"/>
      <c r="I26" s="95"/>
      <c r="J26" s="93">
        <f>[1]!CSP1012P100F1000</f>
        <v>78030</v>
      </c>
      <c r="K26" s="130">
        <f>SUM(F24:G26)</f>
        <v>78438</v>
      </c>
      <c r="L26" s="10">
        <f>IF(J26=0," ",(K26-J26)/J26)</f>
        <v>0.005</v>
      </c>
      <c r="M26" s="81" t="s">
        <v>116</v>
      </c>
      <c r="N26" s="80"/>
    </row>
    <row r="27" spans="1:14" ht="10.5" customHeight="1">
      <c r="A27" s="64"/>
      <c r="C27" s="12" t="s">
        <v>95</v>
      </c>
      <c r="E27" s="3">
        <v>15</v>
      </c>
      <c r="F27" s="20"/>
      <c r="G27" s="20"/>
      <c r="H27" s="95"/>
      <c r="I27" s="95"/>
      <c r="J27" s="20">
        <f>[1]!CSP1012P100F2100</f>
        <v>0</v>
      </c>
      <c r="K27" s="6">
        <f>SUM(F27:G27)</f>
        <v>0</v>
      </c>
      <c r="L27" s="10" t="str">
        <f>IF(J27=0," ",(K27-J27)/J27)</f>
        <v> </v>
      </c>
      <c r="M27" s="81" t="s">
        <v>117</v>
      </c>
      <c r="N27" s="80"/>
    </row>
    <row r="28" spans="1:14" ht="10.5" customHeight="1">
      <c r="A28" s="64"/>
      <c r="C28" s="12" t="s">
        <v>159</v>
      </c>
      <c r="E28" s="3">
        <v>16</v>
      </c>
      <c r="F28" s="20"/>
      <c r="G28" s="20"/>
      <c r="H28" s="95"/>
      <c r="I28" s="95"/>
      <c r="J28" s="21">
        <f>[1]!CSP1012P100F2200</f>
        <v>0</v>
      </c>
      <c r="K28" s="15">
        <f>SUM(F28:G28)</f>
        <v>0</v>
      </c>
      <c r="L28" s="10" t="str">
        <f>IF(J28=0," ",(K28-J28)/J28)</f>
        <v> </v>
      </c>
      <c r="M28" s="81" t="s">
        <v>118</v>
      </c>
      <c r="N28" s="80"/>
    </row>
    <row r="29" spans="1:13" ht="10.5" customHeight="1">
      <c r="A29" s="70"/>
      <c r="B29" s="26" t="s">
        <v>101</v>
      </c>
      <c r="C29" s="26"/>
      <c r="D29" s="26"/>
      <c r="E29" s="5">
        <v>17</v>
      </c>
      <c r="F29" s="6">
        <f>SUM(F24:F28)</f>
        <v>64880</v>
      </c>
      <c r="G29" s="6">
        <f>SUM(G24:G28)</f>
        <v>13558</v>
      </c>
      <c r="H29" s="226"/>
      <c r="I29" s="226"/>
      <c r="J29" s="96">
        <f>SUM(J25:J28)</f>
        <v>78030</v>
      </c>
      <c r="K29" s="96">
        <f>SUM(K25:K28)</f>
        <v>78438</v>
      </c>
      <c r="L29" s="125">
        <f>IF(J29=0," ",(K29-J29)/J29)</f>
        <v>0.005</v>
      </c>
      <c r="M29" s="82" t="s">
        <v>119</v>
      </c>
    </row>
    <row r="30" spans="1:14" ht="10.5" customHeight="1">
      <c r="A30" s="64"/>
      <c r="B30" s="12" t="s">
        <v>28</v>
      </c>
      <c r="E30" s="3"/>
      <c r="F30" s="96"/>
      <c r="G30" s="98"/>
      <c r="H30" s="237"/>
      <c r="I30" s="235"/>
      <c r="J30" s="516"/>
      <c r="K30" s="98"/>
      <c r="L30" s="53"/>
      <c r="M30" s="81"/>
      <c r="N30" s="80"/>
    </row>
    <row r="31" spans="1:14" ht="10.5" customHeight="1">
      <c r="A31" s="64"/>
      <c r="C31" s="12" t="s">
        <v>22</v>
      </c>
      <c r="E31" s="3">
        <v>18</v>
      </c>
      <c r="F31" s="20"/>
      <c r="G31" s="129"/>
      <c r="H31" s="239"/>
      <c r="I31" s="95"/>
      <c r="J31" s="93">
        <f>[1]!CSP1012P200F1000</f>
        <v>0</v>
      </c>
      <c r="K31" s="130">
        <f>SUM(F30:G31)</f>
        <v>0</v>
      </c>
      <c r="L31" s="10" t="str">
        <f>IF(J31=0," ",(K31-J31)/J31)</f>
        <v> </v>
      </c>
      <c r="M31" s="81" t="s">
        <v>120</v>
      </c>
      <c r="N31" s="80"/>
    </row>
    <row r="32" spans="1:14" ht="10.5" customHeight="1">
      <c r="A32" s="64"/>
      <c r="C32" s="12" t="s">
        <v>95</v>
      </c>
      <c r="E32" s="3">
        <v>19</v>
      </c>
      <c r="F32" s="21"/>
      <c r="G32" s="21"/>
      <c r="H32" s="95"/>
      <c r="I32" s="95"/>
      <c r="J32" s="20">
        <f>[1]!CSP1012P200F2100</f>
        <v>0</v>
      </c>
      <c r="K32" s="6">
        <f>SUM(F32:G32)</f>
        <v>0</v>
      </c>
      <c r="L32" s="10" t="str">
        <f>IF(J32=0," ",(K32-J32)/J32)</f>
        <v> </v>
      </c>
      <c r="M32" s="81" t="s">
        <v>121</v>
      </c>
      <c r="N32" s="80"/>
    </row>
    <row r="33" spans="1:14" ht="10.5" customHeight="1">
      <c r="A33" s="64"/>
      <c r="C33" s="12" t="s">
        <v>159</v>
      </c>
      <c r="E33" s="3">
        <v>20</v>
      </c>
      <c r="F33" s="21"/>
      <c r="G33" s="21"/>
      <c r="H33" s="95"/>
      <c r="I33" s="95"/>
      <c r="J33" s="21">
        <f>[1]!CSP1012P200F2200</f>
        <v>0</v>
      </c>
      <c r="K33" s="15">
        <f>SUM(F33:G33)</f>
        <v>0</v>
      </c>
      <c r="L33" s="10" t="str">
        <f>IF(J33=0," ",(K33-J33)/J33)</f>
        <v> </v>
      </c>
      <c r="M33" s="81" t="s">
        <v>122</v>
      </c>
      <c r="N33" s="80"/>
    </row>
    <row r="34" spans="1:14" ht="10.5" customHeight="1">
      <c r="A34" s="70"/>
      <c r="B34" s="26" t="s">
        <v>102</v>
      </c>
      <c r="C34" s="26"/>
      <c r="D34" s="26"/>
      <c r="E34" s="5">
        <v>21</v>
      </c>
      <c r="F34" s="15">
        <f>SUM(F30:F33)</f>
        <v>0</v>
      </c>
      <c r="G34" s="15">
        <f>SUM(G30:G33)</f>
        <v>0</v>
      </c>
      <c r="H34" s="226"/>
      <c r="I34" s="226"/>
      <c r="J34" s="96">
        <f>SUM(J31:J33)</f>
        <v>0</v>
      </c>
      <c r="K34" s="96">
        <f>SUM(K31:K33)</f>
        <v>0</v>
      </c>
      <c r="L34" s="125" t="str">
        <f>IF(J34=0," ",(K34-J34)/J34)</f>
        <v> </v>
      </c>
      <c r="M34" s="81" t="s">
        <v>123</v>
      </c>
      <c r="N34" s="80"/>
    </row>
    <row r="35" spans="1:13" ht="10.5" customHeight="1">
      <c r="A35" s="64"/>
      <c r="B35" s="83" t="s">
        <v>98</v>
      </c>
      <c r="E35" s="3"/>
      <c r="F35" s="96"/>
      <c r="G35" s="98"/>
      <c r="H35" s="237"/>
      <c r="I35" s="235"/>
      <c r="J35" s="516"/>
      <c r="K35" s="98"/>
      <c r="L35" s="53"/>
      <c r="M35" s="82"/>
    </row>
    <row r="36" spans="1:14" ht="10.5" customHeight="1">
      <c r="A36" s="64"/>
      <c r="C36" s="12" t="s">
        <v>22</v>
      </c>
      <c r="E36" s="3">
        <v>22</v>
      </c>
      <c r="F36" s="20"/>
      <c r="G36" s="129"/>
      <c r="H36" s="239"/>
      <c r="I36" s="95"/>
      <c r="J36" s="93">
        <f>[1]!CSP1012POtherF1000</f>
        <v>0</v>
      </c>
      <c r="K36" s="130">
        <f>SUM(F35:G36)</f>
        <v>0</v>
      </c>
      <c r="L36" s="10" t="str">
        <f>IF(J36=0," ",(K36-J36)/J36)</f>
        <v> </v>
      </c>
      <c r="M36" s="81" t="s">
        <v>124</v>
      </c>
      <c r="N36" s="80"/>
    </row>
    <row r="37" spans="1:14" ht="10.5" customHeight="1">
      <c r="A37" s="64"/>
      <c r="C37" s="12" t="s">
        <v>95</v>
      </c>
      <c r="E37" s="3">
        <v>23</v>
      </c>
      <c r="F37" s="21"/>
      <c r="G37" s="21"/>
      <c r="H37" s="95"/>
      <c r="I37" s="95"/>
      <c r="J37" s="20">
        <f>[1]!CSP1012POtherF2100</f>
        <v>0</v>
      </c>
      <c r="K37" s="6">
        <f>SUM(F37:G37)</f>
        <v>0</v>
      </c>
      <c r="L37" s="10" t="str">
        <f>IF(J37=0," ",(K37-J37)/J37)</f>
        <v> </v>
      </c>
      <c r="M37" s="81" t="s">
        <v>125</v>
      </c>
      <c r="N37" s="80"/>
    </row>
    <row r="38" spans="1:14" ht="10.5" customHeight="1">
      <c r="A38" s="64"/>
      <c r="C38" s="12" t="s">
        <v>159</v>
      </c>
      <c r="E38" s="3">
        <v>24</v>
      </c>
      <c r="F38" s="21"/>
      <c r="G38" s="21"/>
      <c r="H38" s="95"/>
      <c r="I38" s="95"/>
      <c r="J38" s="21">
        <f>[1]!CSP1012POtherF2200</f>
        <v>0</v>
      </c>
      <c r="K38" s="15">
        <f>SUM(F38:G38)</f>
        <v>0</v>
      </c>
      <c r="L38" s="10" t="str">
        <f>IF(J38=0," ",(K38-J38)/J38)</f>
        <v> </v>
      </c>
      <c r="M38" s="81" t="s">
        <v>126</v>
      </c>
      <c r="N38" s="80"/>
    </row>
    <row r="39" spans="1:14" ht="10.5" customHeight="1">
      <c r="A39" s="70"/>
      <c r="B39" s="26" t="s">
        <v>103</v>
      </c>
      <c r="C39" s="26"/>
      <c r="D39" s="26"/>
      <c r="E39" s="5">
        <v>25</v>
      </c>
      <c r="F39" s="15">
        <f>SUM(F35:F38)</f>
        <v>0</v>
      </c>
      <c r="G39" s="15">
        <f>SUM(G35:G38)</f>
        <v>0</v>
      </c>
      <c r="H39" s="95"/>
      <c r="I39" s="95"/>
      <c r="J39" s="15">
        <f>SUM(J36:J38)</f>
        <v>0</v>
      </c>
      <c r="K39" s="15">
        <f>SUM(K36:K38)</f>
        <v>0</v>
      </c>
      <c r="L39" s="10" t="str">
        <f>IF(J39=0," ",(K39-J39)/J39)</f>
        <v> </v>
      </c>
      <c r="M39" s="81" t="s">
        <v>127</v>
      </c>
      <c r="N39" s="80"/>
    </row>
    <row r="40" spans="1:14" ht="12.75" customHeight="1">
      <c r="A40" s="70" t="s">
        <v>104</v>
      </c>
      <c r="B40" s="26"/>
      <c r="C40" s="26"/>
      <c r="D40" s="26"/>
      <c r="E40" s="5">
        <v>26</v>
      </c>
      <c r="F40" s="6">
        <f>F29+F34+F39</f>
        <v>64880</v>
      </c>
      <c r="G40" s="6">
        <f>G29+G34+G39</f>
        <v>13558</v>
      </c>
      <c r="H40" s="95"/>
      <c r="I40" s="95"/>
      <c r="J40" s="6">
        <f>J29+J34+J39</f>
        <v>78030</v>
      </c>
      <c r="K40" s="6">
        <f>K29+K34+K39</f>
        <v>78438</v>
      </c>
      <c r="L40" s="10">
        <f>IF(J40=0," ",(K40-J40)/J40)</f>
        <v>0.005</v>
      </c>
      <c r="M40" s="81" t="s">
        <v>128</v>
      </c>
      <c r="N40" s="80"/>
    </row>
    <row r="41" spans="1:15" ht="10.5" customHeight="1">
      <c r="A41" s="211" t="s">
        <v>90</v>
      </c>
      <c r="B41" s="200"/>
      <c r="C41" s="200"/>
      <c r="D41" s="200"/>
      <c r="E41" s="3"/>
      <c r="F41" s="96"/>
      <c r="G41" s="96"/>
      <c r="H41" s="96"/>
      <c r="I41" s="98"/>
      <c r="J41" s="96"/>
      <c r="K41" s="96"/>
      <c r="L41" s="53"/>
      <c r="M41" s="2"/>
      <c r="N41" s="7"/>
      <c r="O41" s="9"/>
    </row>
    <row r="42" spans="1:15" ht="10.5" customHeight="1">
      <c r="A42" s="64"/>
      <c r="B42" s="12" t="s">
        <v>21</v>
      </c>
      <c r="F42" s="527"/>
      <c r="G42" s="527"/>
      <c r="H42" s="126"/>
      <c r="I42" s="132"/>
      <c r="J42" s="126"/>
      <c r="K42" s="126"/>
      <c r="L42" s="125"/>
      <c r="N42" s="7"/>
      <c r="O42" s="9"/>
    </row>
    <row r="43" spans="1:14" ht="10.5" customHeight="1">
      <c r="A43" s="64"/>
      <c r="C43" s="12" t="s">
        <v>22</v>
      </c>
      <c r="E43" s="3">
        <v>27</v>
      </c>
      <c r="F43" s="525">
        <f>53870+3000+3000</f>
        <v>59870</v>
      </c>
      <c r="G43" s="525">
        <f>17231+1000</f>
        <v>18231</v>
      </c>
      <c r="H43" s="20"/>
      <c r="I43" s="129"/>
      <c r="J43" s="20">
        <f>[1]!CSP1013P100F1000</f>
        <v>74567</v>
      </c>
      <c r="K43" s="6">
        <f>SUM(F43:I43)</f>
        <v>78101</v>
      </c>
      <c r="L43" s="10">
        <f>IF(J43=0," ",(K43-J43)/J43)</f>
        <v>0.047</v>
      </c>
      <c r="M43" s="2">
        <v>27</v>
      </c>
      <c r="N43" s="2"/>
    </row>
    <row r="44" spans="1:13" ht="10.5" customHeight="1">
      <c r="A44" s="64"/>
      <c r="C44" s="12" t="s">
        <v>160</v>
      </c>
      <c r="E44" s="3">
        <v>28</v>
      </c>
      <c r="F44" s="107"/>
      <c r="G44" s="20"/>
      <c r="H44" s="20"/>
      <c r="I44" s="20"/>
      <c r="J44" s="21">
        <f>[1]!CSP1013P100F2100</f>
        <v>0</v>
      </c>
      <c r="K44" s="15">
        <f>SUM(F44:I44)</f>
        <v>0</v>
      </c>
      <c r="L44" s="99" t="str">
        <f>IF(J44=0," ",(K44-J44)/J44)</f>
        <v> </v>
      </c>
      <c r="M44" s="67">
        <v>28</v>
      </c>
    </row>
    <row r="45" spans="1:13" ht="10.5" customHeight="1">
      <c r="A45" s="64"/>
      <c r="C45" s="12" t="s">
        <v>159</v>
      </c>
      <c r="E45" s="3">
        <v>29</v>
      </c>
      <c r="F45" s="108"/>
      <c r="G45" s="20"/>
      <c r="H45" s="20"/>
      <c r="I45" s="20"/>
      <c r="J45" s="21">
        <f>[1]!CSP1013P100F2200</f>
        <v>0</v>
      </c>
      <c r="K45" s="15">
        <f>SUM(F45:I45)</f>
        <v>0</v>
      </c>
      <c r="L45" s="99" t="str">
        <f>IF(J45=0," ",(K45-J45)/J45)</f>
        <v> </v>
      </c>
      <c r="M45" s="67">
        <v>29</v>
      </c>
    </row>
    <row r="46" spans="1:13" ht="10.5" customHeight="1">
      <c r="A46" s="70"/>
      <c r="B46" s="103" t="s">
        <v>251</v>
      </c>
      <c r="C46" s="26"/>
      <c r="D46" s="26"/>
      <c r="E46" s="18">
        <v>30</v>
      </c>
      <c r="F46" s="24">
        <f>SUM(F41:F45)</f>
        <v>59870</v>
      </c>
      <c r="G46" s="6">
        <f>SUM(G41:G45)</f>
        <v>18231</v>
      </c>
      <c r="H46" s="6">
        <f>SUM(H41:H45)</f>
        <v>0</v>
      </c>
      <c r="I46" s="6">
        <f>SUM(I41:I45)</f>
        <v>0</v>
      </c>
      <c r="J46" s="126">
        <f>SUM(J42:J45)</f>
        <v>74567</v>
      </c>
      <c r="K46" s="126">
        <f>SUM(F46:I46)</f>
        <v>78101</v>
      </c>
      <c r="L46" s="125">
        <f>IF(J46=0," ",(K46-J46)/J46)</f>
        <v>0.047</v>
      </c>
      <c r="M46" s="67">
        <v>30</v>
      </c>
    </row>
    <row r="47" spans="1:13" ht="10.5" customHeight="1">
      <c r="A47" s="1"/>
      <c r="B47" s="12" t="s">
        <v>28</v>
      </c>
      <c r="E47" s="3"/>
      <c r="F47" s="96"/>
      <c r="G47" s="96"/>
      <c r="H47" s="96"/>
      <c r="I47" s="98"/>
      <c r="J47" s="96"/>
      <c r="K47" s="96"/>
      <c r="L47" s="53"/>
      <c r="M47" s="2"/>
    </row>
    <row r="48" spans="1:13" ht="10.5" customHeight="1">
      <c r="A48" s="64"/>
      <c r="C48" s="12" t="s">
        <v>22</v>
      </c>
      <c r="E48" s="3">
        <v>31</v>
      </c>
      <c r="F48" s="20"/>
      <c r="G48" s="20"/>
      <c r="H48" s="20"/>
      <c r="I48" s="129"/>
      <c r="J48" s="20">
        <f>[1]!CSP1013P200F1000</f>
        <v>0</v>
      </c>
      <c r="K48" s="6">
        <f>SUM(F48:I48)</f>
        <v>0</v>
      </c>
      <c r="L48" s="10" t="str">
        <f>IF(J48=0," ",(K48-J48)/J48)</f>
        <v> </v>
      </c>
      <c r="M48" s="2">
        <v>31</v>
      </c>
    </row>
    <row r="49" spans="1:13" ht="10.5" customHeight="1">
      <c r="A49" s="64"/>
      <c r="C49" s="12" t="s">
        <v>160</v>
      </c>
      <c r="E49" s="16">
        <v>32</v>
      </c>
      <c r="F49" s="107"/>
      <c r="G49" s="20"/>
      <c r="H49" s="20"/>
      <c r="I49" s="20"/>
      <c r="J49" s="20">
        <f>[1]!CSP1013P200F2100</f>
        <v>0</v>
      </c>
      <c r="K49" s="96">
        <f>SUM(F49:I49)</f>
        <v>0</v>
      </c>
      <c r="L49" s="97" t="str">
        <f>IF(J49=0," ",(K49-J49)/J49)</f>
        <v> </v>
      </c>
      <c r="M49" s="67">
        <v>32</v>
      </c>
    </row>
    <row r="50" spans="1:13" ht="10.5" customHeight="1">
      <c r="A50" s="64"/>
      <c r="C50" s="12" t="s">
        <v>159</v>
      </c>
      <c r="E50" s="16">
        <v>33</v>
      </c>
      <c r="F50" s="108"/>
      <c r="G50" s="20"/>
      <c r="H50" s="20"/>
      <c r="I50" s="20"/>
      <c r="J50" s="21">
        <f>[1]!CSP1013P200F2200</f>
        <v>0</v>
      </c>
      <c r="K50" s="15">
        <f>SUM(F50:I50)</f>
        <v>0</v>
      </c>
      <c r="L50" s="99" t="str">
        <f aca="true" t="shared" si="0" ref="L50:L59">IF(J50=0," ",(K50-J50)/J50)</f>
        <v> </v>
      </c>
      <c r="M50" s="67">
        <v>33</v>
      </c>
    </row>
    <row r="51" spans="1:13" ht="10.5" customHeight="1">
      <c r="A51" s="70"/>
      <c r="B51" s="103" t="s">
        <v>252</v>
      </c>
      <c r="C51" s="26"/>
      <c r="D51" s="26"/>
      <c r="E51" s="18">
        <v>34</v>
      </c>
      <c r="F51" s="24">
        <f>SUM(F47:F50)</f>
        <v>0</v>
      </c>
      <c r="G51" s="6">
        <f>SUM(G47:G50)</f>
        <v>0</v>
      </c>
      <c r="H51" s="6">
        <f>SUM(H47:H50)</f>
        <v>0</v>
      </c>
      <c r="I51" s="6">
        <f>SUM(I47:I50)</f>
        <v>0</v>
      </c>
      <c r="J51" s="126">
        <f>SUM(J48:J50)</f>
        <v>0</v>
      </c>
      <c r="K51" s="126">
        <f>SUM(F51:I51)</f>
        <v>0</v>
      </c>
      <c r="L51" s="125" t="str">
        <f t="shared" si="0"/>
        <v> </v>
      </c>
      <c r="M51" s="67">
        <v>34</v>
      </c>
    </row>
    <row r="52" spans="1:13" ht="10.5" customHeight="1">
      <c r="A52" s="1"/>
      <c r="B52" s="49" t="s">
        <v>130</v>
      </c>
      <c r="C52" s="49"/>
      <c r="D52" s="49"/>
      <c r="E52" s="19"/>
      <c r="F52" s="96"/>
      <c r="G52" s="96"/>
      <c r="H52" s="96"/>
      <c r="I52" s="98"/>
      <c r="J52" s="96"/>
      <c r="K52" s="96"/>
      <c r="L52" s="53"/>
      <c r="M52" s="2"/>
    </row>
    <row r="53" spans="1:13" ht="10.5" customHeight="1">
      <c r="A53" s="70"/>
      <c r="B53" s="26"/>
      <c r="C53" s="26" t="s">
        <v>22</v>
      </c>
      <c r="D53" s="26"/>
      <c r="E53" s="18">
        <v>35</v>
      </c>
      <c r="F53" s="20"/>
      <c r="G53" s="20"/>
      <c r="H53" s="20"/>
      <c r="I53" s="129"/>
      <c r="J53" s="20">
        <f>[1]!CSP1013P530F1000</f>
        <v>0</v>
      </c>
      <c r="K53" s="6">
        <f>SUM(F53:I53)</f>
        <v>0</v>
      </c>
      <c r="L53" s="10" t="str">
        <f>IF(J53=0," ",(K53-J53)/J53)</f>
        <v> </v>
      </c>
      <c r="M53" s="2">
        <v>35</v>
      </c>
    </row>
    <row r="54" spans="1:13" ht="10.5" customHeight="1">
      <c r="A54" s="1"/>
      <c r="B54" s="94" t="s">
        <v>98</v>
      </c>
      <c r="E54" s="16"/>
      <c r="F54" s="96"/>
      <c r="G54" s="96"/>
      <c r="H54" s="96"/>
      <c r="I54" s="98"/>
      <c r="J54" s="96"/>
      <c r="K54" s="96"/>
      <c r="L54" s="53"/>
      <c r="M54" s="2"/>
    </row>
    <row r="55" spans="1:13" ht="10.5" customHeight="1">
      <c r="A55" s="64"/>
      <c r="C55" s="12" t="s">
        <v>22</v>
      </c>
      <c r="E55" s="3">
        <v>36</v>
      </c>
      <c r="F55" s="20"/>
      <c r="G55" s="20"/>
      <c r="H55" s="20"/>
      <c r="I55" s="129"/>
      <c r="J55" s="20">
        <f>[1]!CSP1013POtherF1000</f>
        <v>0</v>
      </c>
      <c r="K55" s="6">
        <f>SUM(F55:I55)</f>
        <v>0</v>
      </c>
      <c r="L55" s="10" t="str">
        <f>IF(J55=0," ",(K55-J55)/J55)</f>
        <v> </v>
      </c>
      <c r="M55" s="2">
        <v>36</v>
      </c>
    </row>
    <row r="56" spans="1:13" ht="10.5" customHeight="1">
      <c r="A56" s="64"/>
      <c r="C56" s="84" t="s">
        <v>178</v>
      </c>
      <c r="E56" s="3">
        <v>37</v>
      </c>
      <c r="F56" s="108"/>
      <c r="G56" s="20"/>
      <c r="H56" s="20"/>
      <c r="I56" s="20"/>
      <c r="J56" s="20">
        <f>[1]!CSP1013POtherF21002200</f>
        <v>0</v>
      </c>
      <c r="K56" s="6">
        <f>SUM(F56:I56)</f>
        <v>0</v>
      </c>
      <c r="L56" s="10" t="str">
        <f t="shared" si="0"/>
        <v> </v>
      </c>
      <c r="M56" s="67">
        <v>37</v>
      </c>
    </row>
    <row r="57" spans="1:13" ht="10.5" customHeight="1">
      <c r="A57" s="64"/>
      <c r="B57" s="84" t="s">
        <v>253</v>
      </c>
      <c r="C57" s="26"/>
      <c r="D57" s="26"/>
      <c r="E57" s="18">
        <v>38</v>
      </c>
      <c r="F57" s="24">
        <f>SUM(F54:F56)</f>
        <v>0</v>
      </c>
      <c r="G57" s="6">
        <f>SUM(G54:G56)</f>
        <v>0</v>
      </c>
      <c r="H57" s="6">
        <f>SUM(H54:H56)</f>
        <v>0</v>
      </c>
      <c r="I57" s="6">
        <f>SUM(I54:I56)</f>
        <v>0</v>
      </c>
      <c r="J57" s="6">
        <f>SUM(J55:J56)</f>
        <v>0</v>
      </c>
      <c r="K57" s="6">
        <f>SUM(F57:I57)</f>
        <v>0</v>
      </c>
      <c r="L57" s="10" t="str">
        <f t="shared" si="0"/>
        <v> </v>
      </c>
      <c r="M57" s="67">
        <v>38</v>
      </c>
    </row>
    <row r="58" spans="1:13" ht="12.75" customHeight="1">
      <c r="A58" s="104" t="s">
        <v>254</v>
      </c>
      <c r="B58" s="71"/>
      <c r="C58" s="26"/>
      <c r="D58" s="71"/>
      <c r="E58" s="17">
        <v>39</v>
      </c>
      <c r="F58" s="24">
        <f>F46+F51+F52+F53+F57</f>
        <v>59870</v>
      </c>
      <c r="G58" s="6">
        <f>G46+G51+G52+G53+G57</f>
        <v>18231</v>
      </c>
      <c r="H58" s="6">
        <f>H46+H51+H52+H53+H57</f>
        <v>0</v>
      </c>
      <c r="I58" s="6">
        <f>I46+I51+I52+I53+I57</f>
        <v>0</v>
      </c>
      <c r="J58" s="6">
        <f>J46+J51+J53+J57</f>
        <v>74567</v>
      </c>
      <c r="K58" s="6">
        <f>K46+K51+K53+K57</f>
        <v>78101</v>
      </c>
      <c r="L58" s="10">
        <f t="shared" si="0"/>
        <v>0.047</v>
      </c>
      <c r="M58" s="67">
        <v>39</v>
      </c>
    </row>
    <row r="59" spans="1:13" ht="12.75">
      <c r="A59" s="104" t="s">
        <v>255</v>
      </c>
      <c r="B59" s="71"/>
      <c r="C59" s="71"/>
      <c r="D59" s="71"/>
      <c r="E59" s="17">
        <v>40</v>
      </c>
      <c r="F59" s="24">
        <f>F23+F40+F58</f>
        <v>154726</v>
      </c>
      <c r="G59" s="24">
        <f>G23+G40+G58</f>
        <v>40918</v>
      </c>
      <c r="H59" s="25">
        <f>H58</f>
        <v>0</v>
      </c>
      <c r="I59" s="25">
        <f>I58</f>
        <v>0</v>
      </c>
      <c r="J59" s="25">
        <f>J23+J40+J58</f>
        <v>189880</v>
      </c>
      <c r="K59" s="24">
        <f>SUM(F59:I59)</f>
        <v>195644</v>
      </c>
      <c r="L59" s="10">
        <f t="shared" si="0"/>
        <v>0.03</v>
      </c>
      <c r="M59" s="67">
        <v>40</v>
      </c>
    </row>
    <row r="60" ht="6.75" customHeight="1"/>
    <row r="61" ht="7.5" customHeight="1"/>
    <row r="62" ht="6.75" customHeight="1"/>
    <row r="63" ht="9" customHeight="1"/>
  </sheetData>
  <sheetProtection/>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R33" sqref="R33"/>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20" t="str">
        <f>Cover!D1</f>
        <v>Edkey, Inc.</v>
      </c>
      <c r="E1" s="620"/>
      <c r="F1" s="620"/>
      <c r="G1" s="13"/>
      <c r="H1" s="12"/>
      <c r="I1" s="39" t="s">
        <v>53</v>
      </c>
      <c r="J1" s="608" t="str">
        <f>Cover!M1</f>
        <v>Yavapia</v>
      </c>
      <c r="K1" s="608"/>
      <c r="L1" s="12"/>
      <c r="M1" s="39" t="s">
        <v>89</v>
      </c>
      <c r="N1" s="608" t="str">
        <f>Cover!R1</f>
        <v>138754000</v>
      </c>
      <c r="O1" s="608"/>
      <c r="P1" s="12"/>
    </row>
    <row r="2" spans="1:16" ht="12.75">
      <c r="A2" s="47"/>
      <c r="B2" s="47"/>
      <c r="C2" s="198"/>
      <c r="D2" s="47"/>
      <c r="E2" s="47"/>
      <c r="F2" s="47"/>
      <c r="G2" s="47"/>
      <c r="H2" s="47"/>
      <c r="I2" s="47"/>
      <c r="J2" s="47"/>
      <c r="K2" s="12"/>
      <c r="L2" s="12"/>
      <c r="M2" s="12"/>
      <c r="N2" s="12"/>
      <c r="O2" s="12"/>
      <c r="P2" s="12"/>
    </row>
    <row r="3" spans="1:16" ht="12.75">
      <c r="A3" s="48"/>
      <c r="B3" s="49"/>
      <c r="C3" s="49"/>
      <c r="D3" s="619"/>
      <c r="E3" s="50"/>
      <c r="F3" s="51" t="s">
        <v>141</v>
      </c>
      <c r="G3" s="52"/>
      <c r="H3" s="53"/>
      <c r="I3" s="53"/>
      <c r="J3" s="54" t="s">
        <v>14</v>
      </c>
      <c r="K3" s="1"/>
      <c r="L3" s="1"/>
      <c r="M3" s="55" t="s">
        <v>61</v>
      </c>
      <c r="N3" s="56"/>
      <c r="O3" s="53"/>
      <c r="P3" s="12"/>
    </row>
    <row r="4" spans="1:16" ht="12.75">
      <c r="A4" s="4"/>
      <c r="B4" s="12"/>
      <c r="C4" s="12"/>
      <c r="D4" s="609"/>
      <c r="E4" s="57"/>
      <c r="F4" s="58" t="s">
        <v>139</v>
      </c>
      <c r="G4" s="59"/>
      <c r="H4" s="60"/>
      <c r="I4" s="60" t="s">
        <v>140</v>
      </c>
      <c r="J4" s="60" t="s">
        <v>17</v>
      </c>
      <c r="K4" s="61"/>
      <c r="L4" s="61"/>
      <c r="M4" s="61"/>
      <c r="N4" s="61"/>
      <c r="O4" s="60" t="s">
        <v>63</v>
      </c>
      <c r="P4" s="12"/>
    </row>
    <row r="5" spans="1:16" ht="12.75">
      <c r="A5" s="4" t="s">
        <v>92</v>
      </c>
      <c r="B5" s="12"/>
      <c r="C5" s="12"/>
      <c r="D5" s="12"/>
      <c r="E5" s="57"/>
      <c r="F5" s="221" t="s">
        <v>242</v>
      </c>
      <c r="G5" s="54" t="s">
        <v>62</v>
      </c>
      <c r="H5" s="60" t="s">
        <v>15</v>
      </c>
      <c r="I5" s="60" t="s">
        <v>16</v>
      </c>
      <c r="J5" s="60" t="s">
        <v>20</v>
      </c>
      <c r="K5" s="60" t="s">
        <v>18</v>
      </c>
      <c r="L5" s="60" t="s">
        <v>19</v>
      </c>
      <c r="M5" s="220" t="s">
        <v>243</v>
      </c>
      <c r="N5" s="220" t="s">
        <v>55</v>
      </c>
      <c r="O5" s="60" t="s">
        <v>64</v>
      </c>
      <c r="P5" s="12"/>
    </row>
    <row r="6" spans="1:16" ht="12.75">
      <c r="A6" s="62"/>
      <c r="B6" s="26"/>
      <c r="C6" s="26"/>
      <c r="D6" s="26"/>
      <c r="E6" s="18"/>
      <c r="F6" s="60" t="s">
        <v>54</v>
      </c>
      <c r="G6" s="63" t="s">
        <v>54</v>
      </c>
      <c r="H6" s="63">
        <v>6100</v>
      </c>
      <c r="I6" s="63">
        <v>6200</v>
      </c>
      <c r="J6" s="63">
        <v>6500</v>
      </c>
      <c r="K6" s="63">
        <v>6600</v>
      </c>
      <c r="L6" s="63">
        <v>6800</v>
      </c>
      <c r="M6" s="220">
        <v>2019</v>
      </c>
      <c r="N6" s="220">
        <v>2020</v>
      </c>
      <c r="O6" s="60" t="s">
        <v>65</v>
      </c>
      <c r="P6" s="12"/>
    </row>
    <row r="7" spans="1:16" ht="12.75">
      <c r="A7" s="212" t="s">
        <v>501</v>
      </c>
      <c r="B7" s="487"/>
      <c r="C7" s="487"/>
      <c r="D7" s="487"/>
      <c r="E7" s="488"/>
      <c r="F7" s="489"/>
      <c r="G7" s="138"/>
      <c r="H7" s="96"/>
      <c r="I7" s="96"/>
      <c r="J7" s="96"/>
      <c r="K7" s="96"/>
      <c r="L7" s="98"/>
      <c r="M7" s="137"/>
      <c r="N7" s="137"/>
      <c r="O7" s="137"/>
      <c r="P7" s="12"/>
    </row>
    <row r="8" spans="1:16" ht="12.75">
      <c r="A8" s="64"/>
      <c r="B8" s="12" t="s">
        <v>167</v>
      </c>
      <c r="C8" s="12"/>
      <c r="D8" s="12"/>
      <c r="E8" s="3"/>
      <c r="F8" s="139"/>
      <c r="G8" s="140"/>
      <c r="H8" s="126"/>
      <c r="I8" s="126"/>
      <c r="J8" s="126"/>
      <c r="K8" s="126"/>
      <c r="L8" s="132"/>
      <c r="M8" s="126"/>
      <c r="N8" s="126"/>
      <c r="O8" s="125"/>
      <c r="P8" s="12"/>
    </row>
    <row r="9" spans="1:16" ht="12.75">
      <c r="A9" s="64"/>
      <c r="B9" s="12"/>
      <c r="C9" s="12" t="s">
        <v>22</v>
      </c>
      <c r="D9" s="12"/>
      <c r="E9" s="3">
        <v>1</v>
      </c>
      <c r="F9" s="69">
        <f>[1]!SEIP1071P260F1000PPL</f>
        <v>0</v>
      </c>
      <c r="G9" s="136">
        <v>0</v>
      </c>
      <c r="H9" s="20">
        <v>0</v>
      </c>
      <c r="I9" s="20">
        <v>0</v>
      </c>
      <c r="J9" s="20">
        <v>0</v>
      </c>
      <c r="K9" s="20">
        <v>0</v>
      </c>
      <c r="L9" s="129">
        <v>0</v>
      </c>
      <c r="M9" s="20">
        <f>[1]!SEIP1071P260F1000</f>
        <v>0</v>
      </c>
      <c r="N9" s="6">
        <f>SUM(H7:L9)</f>
        <v>0</v>
      </c>
      <c r="O9" s="10" t="str">
        <f>IF(M9=0," ",(N9-M9)/M9)</f>
        <v> </v>
      </c>
      <c r="P9" s="2">
        <v>1</v>
      </c>
    </row>
    <row r="10" spans="1:16" ht="12.75">
      <c r="A10" s="64"/>
      <c r="B10" s="12"/>
      <c r="C10" s="12" t="s">
        <v>23</v>
      </c>
      <c r="D10" s="12"/>
      <c r="E10" s="3"/>
      <c r="F10" s="137"/>
      <c r="G10" s="138"/>
      <c r="H10" s="96"/>
      <c r="I10" s="96"/>
      <c r="J10" s="96"/>
      <c r="K10" s="96"/>
      <c r="L10" s="98"/>
      <c r="M10" s="137"/>
      <c r="N10" s="137"/>
      <c r="O10" s="137"/>
      <c r="P10" s="2"/>
    </row>
    <row r="11" spans="1:16" ht="12.75">
      <c r="A11" s="64"/>
      <c r="B11" s="12"/>
      <c r="C11" s="12" t="s">
        <v>161</v>
      </c>
      <c r="D11" s="12"/>
      <c r="E11" s="3">
        <v>2</v>
      </c>
      <c r="F11" s="69">
        <f>[1]!SEIP1071P260F2100PPL</f>
        <v>0</v>
      </c>
      <c r="G11" s="136">
        <v>0</v>
      </c>
      <c r="H11" s="20">
        <v>0</v>
      </c>
      <c r="I11" s="20">
        <v>0</v>
      </c>
      <c r="J11" s="20">
        <v>0</v>
      </c>
      <c r="K11" s="20">
        <v>0</v>
      </c>
      <c r="L11" s="129">
        <v>0</v>
      </c>
      <c r="M11" s="20">
        <f>[1]!SEIP1071P260F2100</f>
        <v>0</v>
      </c>
      <c r="N11" s="6">
        <f>SUM(H10:L11)</f>
        <v>0</v>
      </c>
      <c r="O11" s="10" t="str">
        <f>IF(M11=0," ",(N11-M11)/M11)</f>
        <v> </v>
      </c>
      <c r="P11" s="2">
        <v>2</v>
      </c>
    </row>
    <row r="12" spans="1:16" ht="12.75">
      <c r="A12" s="64"/>
      <c r="B12" s="12"/>
      <c r="C12" s="12" t="s">
        <v>164</v>
      </c>
      <c r="D12" s="12"/>
      <c r="E12" s="16">
        <v>3</v>
      </c>
      <c r="F12" s="69">
        <f>[1]!SEIP1071P260F2200PPL</f>
        <v>0</v>
      </c>
      <c r="G12" s="100">
        <v>0</v>
      </c>
      <c r="H12" s="101">
        <v>0</v>
      </c>
      <c r="I12" s="101">
        <v>0</v>
      </c>
      <c r="J12" s="101">
        <v>0</v>
      </c>
      <c r="K12" s="101">
        <v>0</v>
      </c>
      <c r="L12" s="101">
        <v>0</v>
      </c>
      <c r="M12" s="28">
        <f>[1]!SEIP1071P260F2200</f>
        <v>0</v>
      </c>
      <c r="N12" s="6">
        <f aca="true" t="shared" si="0" ref="N12:N17">SUM(H12:L12)</f>
        <v>0</v>
      </c>
      <c r="O12" s="128" t="str">
        <f aca="true" t="shared" si="1" ref="O12:O18">IF(M12=0," ",(N12-M12)/M12)</f>
        <v> </v>
      </c>
      <c r="P12" s="67">
        <v>3</v>
      </c>
    </row>
    <row r="13" spans="1:16" ht="12.75">
      <c r="A13" s="64"/>
      <c r="B13" s="12"/>
      <c r="C13" s="12" t="s">
        <v>162</v>
      </c>
      <c r="D13" s="12"/>
      <c r="E13" s="16">
        <v>4</v>
      </c>
      <c r="F13" s="68">
        <f>[1]!SEIP1071P260F2300PPL</f>
        <v>0</v>
      </c>
      <c r="G13" s="100">
        <v>0</v>
      </c>
      <c r="H13" s="101">
        <v>0</v>
      </c>
      <c r="I13" s="101">
        <v>0</v>
      </c>
      <c r="J13" s="101">
        <v>0</v>
      </c>
      <c r="K13" s="101">
        <v>0</v>
      </c>
      <c r="L13" s="101">
        <v>0</v>
      </c>
      <c r="M13" s="101">
        <f>[1]!SEIP1071P260F2300</f>
        <v>0</v>
      </c>
      <c r="N13" s="15">
        <f t="shared" si="0"/>
        <v>0</v>
      </c>
      <c r="O13" s="102" t="str">
        <f t="shared" si="1"/>
        <v> </v>
      </c>
      <c r="P13" s="67">
        <v>4</v>
      </c>
    </row>
    <row r="14" spans="1:16" ht="12.75">
      <c r="A14" s="64"/>
      <c r="B14" s="12"/>
      <c r="C14" s="12" t="s">
        <v>163</v>
      </c>
      <c r="D14" s="12"/>
      <c r="E14" s="16">
        <v>5</v>
      </c>
      <c r="F14" s="68">
        <f>[1]!SEIP1071P260F2400PPL</f>
        <v>0</v>
      </c>
      <c r="G14" s="100">
        <v>0</v>
      </c>
      <c r="H14" s="101">
        <v>0</v>
      </c>
      <c r="I14" s="101">
        <v>0</v>
      </c>
      <c r="J14" s="101">
        <v>0</v>
      </c>
      <c r="K14" s="101">
        <v>0</v>
      </c>
      <c r="L14" s="101">
        <v>0</v>
      </c>
      <c r="M14" s="101">
        <f>[1]!SEIP1071P260F2400</f>
        <v>0</v>
      </c>
      <c r="N14" s="15">
        <f t="shared" si="0"/>
        <v>0</v>
      </c>
      <c r="O14" s="102" t="str">
        <f t="shared" si="1"/>
        <v> </v>
      </c>
      <c r="P14" s="67">
        <v>5</v>
      </c>
    </row>
    <row r="15" spans="1:16" ht="12.75">
      <c r="A15" s="64"/>
      <c r="B15" s="12"/>
      <c r="C15" s="12" t="s">
        <v>165</v>
      </c>
      <c r="D15" s="12"/>
      <c r="E15" s="16">
        <v>6</v>
      </c>
      <c r="F15" s="68">
        <f>[1]!SEIP1071P260F2500PPL</f>
        <v>0</v>
      </c>
      <c r="G15" s="100">
        <v>0</v>
      </c>
      <c r="H15" s="101">
        <v>0</v>
      </c>
      <c r="I15" s="101">
        <v>0</v>
      </c>
      <c r="J15" s="101">
        <v>0</v>
      </c>
      <c r="K15" s="101">
        <v>0</v>
      </c>
      <c r="L15" s="101">
        <v>0</v>
      </c>
      <c r="M15" s="101">
        <f>[1]!SEIP1071P260F2500</f>
        <v>0</v>
      </c>
      <c r="N15" s="15">
        <f t="shared" si="0"/>
        <v>0</v>
      </c>
      <c r="O15" s="102" t="str">
        <f t="shared" si="1"/>
        <v> </v>
      </c>
      <c r="P15" s="67">
        <v>6</v>
      </c>
    </row>
    <row r="16" spans="1:16" ht="12.75">
      <c r="A16" s="64"/>
      <c r="B16" s="12"/>
      <c r="C16" s="12" t="s">
        <v>166</v>
      </c>
      <c r="D16" s="12"/>
      <c r="E16" s="16">
        <v>7</v>
      </c>
      <c r="F16" s="68">
        <f>[1]!SEIP1071P260F2600PPL</f>
        <v>0</v>
      </c>
      <c r="G16" s="68">
        <v>0</v>
      </c>
      <c r="H16" s="21">
        <v>0</v>
      </c>
      <c r="I16" s="21">
        <v>0</v>
      </c>
      <c r="J16" s="21">
        <v>0</v>
      </c>
      <c r="K16" s="21">
        <v>0</v>
      </c>
      <c r="L16" s="21">
        <v>0</v>
      </c>
      <c r="M16" s="101">
        <f>[1]!SEIP1071P260F2600</f>
        <v>0</v>
      </c>
      <c r="N16" s="15">
        <f t="shared" si="0"/>
        <v>0</v>
      </c>
      <c r="O16" s="102" t="str">
        <f t="shared" si="1"/>
        <v> </v>
      </c>
      <c r="P16" s="67">
        <v>7</v>
      </c>
    </row>
    <row r="17" spans="1:16" ht="12.75">
      <c r="A17" s="64"/>
      <c r="B17" s="12"/>
      <c r="C17" s="12" t="s">
        <v>168</v>
      </c>
      <c r="D17" s="12"/>
      <c r="E17" s="16">
        <v>8</v>
      </c>
      <c r="F17" s="68">
        <f>[1]!SEIP1071P260F2900PPL</f>
        <v>0</v>
      </c>
      <c r="G17" s="69">
        <v>0</v>
      </c>
      <c r="H17" s="20">
        <v>0</v>
      </c>
      <c r="I17" s="20">
        <v>0</v>
      </c>
      <c r="J17" s="20">
        <v>0</v>
      </c>
      <c r="K17" s="20">
        <v>0</v>
      </c>
      <c r="L17" s="20">
        <v>0</v>
      </c>
      <c r="M17" s="101">
        <f>[1]!SEIP1071P260F2900</f>
        <v>0</v>
      </c>
      <c r="N17" s="15">
        <f t="shared" si="0"/>
        <v>0</v>
      </c>
      <c r="O17" s="102" t="str">
        <f t="shared" si="1"/>
        <v> </v>
      </c>
      <c r="P17" s="67">
        <v>8</v>
      </c>
    </row>
    <row r="18" spans="1:16" ht="12.75">
      <c r="A18" s="70"/>
      <c r="B18" s="103" t="s">
        <v>174</v>
      </c>
      <c r="C18" s="26"/>
      <c r="D18" s="26"/>
      <c r="E18" s="18">
        <v>9</v>
      </c>
      <c r="F18" s="139">
        <f>SUM(F8:F17)</f>
        <v>0</v>
      </c>
      <c r="G18" s="65">
        <v>0</v>
      </c>
      <c r="H18" s="6">
        <f>SUM(H7:H17)</f>
        <v>0</v>
      </c>
      <c r="I18" s="6">
        <f>SUM(I7:I17)</f>
        <v>0</v>
      </c>
      <c r="J18" s="6">
        <f>SUM(J7:J17)</f>
        <v>0</v>
      </c>
      <c r="K18" s="6">
        <f>SUM(K7:K17)</f>
        <v>0</v>
      </c>
      <c r="L18" s="6">
        <f>SUM(L7:L17)</f>
        <v>0</v>
      </c>
      <c r="M18" s="126">
        <f>SUM(M8:M17)</f>
        <v>0</v>
      </c>
      <c r="N18" s="126">
        <f>SUM(N8:N17)</f>
        <v>0</v>
      </c>
      <c r="O18" s="127" t="str">
        <f t="shared" si="1"/>
        <v> </v>
      </c>
      <c r="P18" s="2">
        <v>9</v>
      </c>
    </row>
    <row r="19" spans="1:16" ht="12.75">
      <c r="A19" s="64"/>
      <c r="B19" s="84" t="s">
        <v>171</v>
      </c>
      <c r="C19" s="12"/>
      <c r="D19" s="12"/>
      <c r="E19" s="3"/>
      <c r="F19" s="137"/>
      <c r="G19" s="138"/>
      <c r="H19" s="96"/>
      <c r="I19" s="96"/>
      <c r="J19" s="96"/>
      <c r="K19" s="96"/>
      <c r="L19" s="98"/>
      <c r="M19" s="137"/>
      <c r="N19" s="141"/>
      <c r="O19" s="137"/>
      <c r="P19" s="2"/>
    </row>
    <row r="20" spans="1:16" ht="12.75">
      <c r="A20" s="64"/>
      <c r="B20" s="12"/>
      <c r="C20" s="12" t="s">
        <v>23</v>
      </c>
      <c r="D20" s="12"/>
      <c r="E20" s="3"/>
      <c r="F20" s="139"/>
      <c r="G20" s="140"/>
      <c r="H20" s="126"/>
      <c r="I20" s="126"/>
      <c r="J20" s="126"/>
      <c r="K20" s="126"/>
      <c r="L20" s="132"/>
      <c r="M20" s="126"/>
      <c r="N20" s="132"/>
      <c r="O20" s="133"/>
      <c r="P20" s="2"/>
    </row>
    <row r="21" spans="1:16" ht="12.75">
      <c r="A21" s="64"/>
      <c r="B21" s="12"/>
      <c r="C21" s="12" t="s">
        <v>169</v>
      </c>
      <c r="D21" s="12"/>
      <c r="E21" s="3">
        <v>10</v>
      </c>
      <c r="F21" s="69">
        <f>[1]!SEIP1071P430F2700PPL</f>
        <v>0</v>
      </c>
      <c r="G21" s="136">
        <v>0</v>
      </c>
      <c r="H21" s="20">
        <v>0</v>
      </c>
      <c r="I21" s="20">
        <v>0</v>
      </c>
      <c r="J21" s="20">
        <v>0</v>
      </c>
      <c r="K21" s="20">
        <v>0</v>
      </c>
      <c r="L21" s="129">
        <v>0</v>
      </c>
      <c r="M21" s="20">
        <f>[1]!SEIP1071P430F2700</f>
        <v>0</v>
      </c>
      <c r="N21" s="130">
        <f>SUM(H19:L21)</f>
        <v>0</v>
      </c>
      <c r="O21" s="134" t="str">
        <f>IF(M21=0," ",(N21-M21)/M21)</f>
        <v> </v>
      </c>
      <c r="P21" s="2">
        <v>10</v>
      </c>
    </row>
    <row r="22" spans="1:16" ht="12.75">
      <c r="A22" s="104" t="s">
        <v>175</v>
      </c>
      <c r="B22" s="71"/>
      <c r="C22" s="71"/>
      <c r="D22" s="71"/>
      <c r="E22" s="17">
        <v>11</v>
      </c>
      <c r="F22" s="65">
        <f aca="true" t="shared" si="2" ref="F22:L22">SUM(F18:F21)</f>
        <v>0</v>
      </c>
      <c r="G22" s="65">
        <f t="shared" si="2"/>
        <v>0</v>
      </c>
      <c r="H22" s="15">
        <f t="shared" si="2"/>
        <v>0</v>
      </c>
      <c r="I22" s="15">
        <f t="shared" si="2"/>
        <v>0</v>
      </c>
      <c r="J22" s="15">
        <f t="shared" si="2"/>
        <v>0</v>
      </c>
      <c r="K22" s="15">
        <f t="shared" si="2"/>
        <v>0</v>
      </c>
      <c r="L22" s="15">
        <f t="shared" si="2"/>
        <v>0</v>
      </c>
      <c r="M22" s="6">
        <f>[1]!TotalSEIP</f>
        <v>0</v>
      </c>
      <c r="N22" s="6">
        <f>SUM(N18:N21)</f>
        <v>0</v>
      </c>
      <c r="O22" s="134" t="str">
        <f>IF(M22=0," ",(N22-M22)/M22)</f>
        <v> </v>
      </c>
      <c r="P22" s="67">
        <v>11</v>
      </c>
    </row>
    <row r="23" spans="1:16" ht="12.75">
      <c r="A23" s="12"/>
      <c r="B23" s="12"/>
      <c r="C23" s="12"/>
      <c r="D23" s="12"/>
      <c r="E23" s="12"/>
      <c r="F23" s="12"/>
      <c r="G23" s="12"/>
      <c r="H23" s="12"/>
      <c r="I23" s="12"/>
      <c r="J23" s="12"/>
      <c r="K23" s="12"/>
      <c r="L23" s="12"/>
      <c r="M23" s="12"/>
      <c r="N23" s="12"/>
      <c r="O23" s="12"/>
      <c r="P23" s="12"/>
    </row>
    <row r="24" spans="1:16" ht="12.75">
      <c r="A24" s="48"/>
      <c r="B24" s="49"/>
      <c r="C24" s="49"/>
      <c r="D24" s="49"/>
      <c r="E24" s="50"/>
      <c r="F24" s="51" t="s">
        <v>141</v>
      </c>
      <c r="G24" s="52"/>
      <c r="H24" s="53"/>
      <c r="I24" s="53"/>
      <c r="J24" s="54" t="s">
        <v>14</v>
      </c>
      <c r="K24" s="1"/>
      <c r="L24" s="1"/>
      <c r="M24" s="55" t="s">
        <v>61</v>
      </c>
      <c r="N24" s="56"/>
      <c r="O24" s="53"/>
      <c r="P24" s="12"/>
    </row>
    <row r="25" spans="1:16" ht="12.75">
      <c r="A25" s="4"/>
      <c r="B25" s="12"/>
      <c r="C25" s="12"/>
      <c r="D25" s="12"/>
      <c r="E25" s="57"/>
      <c r="F25" s="58" t="s">
        <v>139</v>
      </c>
      <c r="G25" s="59"/>
      <c r="H25" s="60"/>
      <c r="I25" s="60" t="s">
        <v>140</v>
      </c>
      <c r="J25" s="60" t="s">
        <v>17</v>
      </c>
      <c r="K25" s="61"/>
      <c r="L25" s="61"/>
      <c r="M25" s="61"/>
      <c r="N25" s="61"/>
      <c r="O25" s="60" t="s">
        <v>63</v>
      </c>
      <c r="P25" s="12"/>
    </row>
    <row r="26" spans="1:16" ht="12.75">
      <c r="A26" s="4" t="s">
        <v>92</v>
      </c>
      <c r="B26" s="12"/>
      <c r="C26" s="12"/>
      <c r="D26" s="12"/>
      <c r="E26" s="57"/>
      <c r="F26" s="221" t="s">
        <v>242</v>
      </c>
      <c r="G26" s="54" t="s">
        <v>62</v>
      </c>
      <c r="H26" s="60" t="s">
        <v>15</v>
      </c>
      <c r="I26" s="60" t="s">
        <v>16</v>
      </c>
      <c r="J26" s="60" t="s">
        <v>20</v>
      </c>
      <c r="K26" s="60" t="s">
        <v>18</v>
      </c>
      <c r="L26" s="60" t="s">
        <v>19</v>
      </c>
      <c r="M26" s="220" t="s">
        <v>243</v>
      </c>
      <c r="N26" s="220" t="s">
        <v>55</v>
      </c>
      <c r="O26" s="60" t="s">
        <v>64</v>
      </c>
      <c r="P26" s="12"/>
    </row>
    <row r="27" spans="1:16" ht="12.75">
      <c r="A27" s="62"/>
      <c r="B27" s="26"/>
      <c r="C27" s="26"/>
      <c r="D27" s="26"/>
      <c r="E27" s="18"/>
      <c r="F27" s="60" t="s">
        <v>54</v>
      </c>
      <c r="G27" s="63" t="s">
        <v>54</v>
      </c>
      <c r="H27" s="63">
        <v>6100</v>
      </c>
      <c r="I27" s="63">
        <v>6200</v>
      </c>
      <c r="J27" s="63">
        <v>6500</v>
      </c>
      <c r="K27" s="63">
        <v>6600</v>
      </c>
      <c r="L27" s="63">
        <v>6800</v>
      </c>
      <c r="M27" s="220">
        <v>2019</v>
      </c>
      <c r="N27" s="220">
        <v>2020</v>
      </c>
      <c r="O27" s="60" t="s">
        <v>65</v>
      </c>
      <c r="P27" s="12"/>
    </row>
    <row r="28" spans="1:16" ht="12.75">
      <c r="A28" s="212" t="s">
        <v>143</v>
      </c>
      <c r="B28" s="199"/>
      <c r="C28" s="199"/>
      <c r="D28" s="199"/>
      <c r="E28" s="135"/>
      <c r="F28" s="137"/>
      <c r="G28" s="138"/>
      <c r="H28" s="96"/>
      <c r="I28" s="96"/>
      <c r="J28" s="96"/>
      <c r="K28" s="96"/>
      <c r="L28" s="98"/>
      <c r="M28" s="137"/>
      <c r="N28" s="137"/>
      <c r="O28" s="137"/>
      <c r="P28" s="12"/>
    </row>
    <row r="29" spans="1:16" ht="12.75">
      <c r="A29" s="64"/>
      <c r="B29" s="12" t="s">
        <v>144</v>
      </c>
      <c r="C29" s="12"/>
      <c r="D29" s="12"/>
      <c r="E29" s="3"/>
      <c r="F29" s="139"/>
      <c r="G29" s="140"/>
      <c r="H29" s="126"/>
      <c r="I29" s="126"/>
      <c r="J29" s="126"/>
      <c r="K29" s="126"/>
      <c r="L29" s="132"/>
      <c r="M29" s="126"/>
      <c r="N29" s="126"/>
      <c r="O29" s="125"/>
      <c r="P29" s="12"/>
    </row>
    <row r="30" spans="1:16" ht="12.75">
      <c r="A30" s="64"/>
      <c r="B30" s="12"/>
      <c r="C30" s="12" t="s">
        <v>22</v>
      </c>
      <c r="D30" s="12"/>
      <c r="E30" s="3">
        <v>12</v>
      </c>
      <c r="F30" s="69">
        <f>[1]!CIP1072P265F1000PPL</f>
        <v>0</v>
      </c>
      <c r="G30" s="136">
        <v>0</v>
      </c>
      <c r="H30" s="20">
        <v>0</v>
      </c>
      <c r="I30" s="20">
        <v>0</v>
      </c>
      <c r="J30" s="20">
        <v>0</v>
      </c>
      <c r="K30" s="20">
        <v>0</v>
      </c>
      <c r="L30" s="129">
        <v>0</v>
      </c>
      <c r="M30" s="20">
        <f>[1]!CIP1072P265F1000</f>
        <v>0</v>
      </c>
      <c r="N30" s="6">
        <f>SUM(H28:L30)</f>
        <v>0</v>
      </c>
      <c r="O30" s="10" t="str">
        <f>IF(M30=0," ",(N30-M30)/M30)</f>
        <v> </v>
      </c>
      <c r="P30" s="2">
        <v>12</v>
      </c>
    </row>
    <row r="31" spans="1:16" ht="12.75">
      <c r="A31" s="64"/>
      <c r="B31" s="12"/>
      <c r="C31" s="12" t="s">
        <v>23</v>
      </c>
      <c r="D31" s="12"/>
      <c r="E31" s="3"/>
      <c r="F31" s="137"/>
      <c r="G31" s="138"/>
      <c r="H31" s="96"/>
      <c r="I31" s="96"/>
      <c r="J31" s="96"/>
      <c r="K31" s="96"/>
      <c r="L31" s="98"/>
      <c r="M31" s="137"/>
      <c r="N31" s="137"/>
      <c r="O31" s="137"/>
      <c r="P31" s="12"/>
    </row>
    <row r="32" spans="1:16" ht="12.75">
      <c r="A32" s="64"/>
      <c r="B32" s="12"/>
      <c r="C32" s="12" t="s">
        <v>161</v>
      </c>
      <c r="D32" s="12"/>
      <c r="E32" s="3">
        <v>13</v>
      </c>
      <c r="F32" s="69">
        <f>[1]!CIP1072P265F2100PPL</f>
        <v>0</v>
      </c>
      <c r="G32" s="136">
        <v>0</v>
      </c>
      <c r="H32" s="20">
        <v>0</v>
      </c>
      <c r="I32" s="20">
        <v>0</v>
      </c>
      <c r="J32" s="20">
        <v>0</v>
      </c>
      <c r="K32" s="20">
        <v>0</v>
      </c>
      <c r="L32" s="129">
        <v>0</v>
      </c>
      <c r="M32" s="20">
        <f>[1]!CIP1072P265F2100</f>
        <v>0</v>
      </c>
      <c r="N32" s="6">
        <f>SUM(H31:L32)</f>
        <v>0</v>
      </c>
      <c r="O32" s="10" t="str">
        <f>IF(M32=0," ",(N32-M32)/M32)</f>
        <v> </v>
      </c>
      <c r="P32" s="2">
        <v>13</v>
      </c>
    </row>
    <row r="33" spans="1:16" ht="12.75">
      <c r="A33" s="64"/>
      <c r="B33" s="12"/>
      <c r="C33" s="12" t="s">
        <v>164</v>
      </c>
      <c r="D33" s="12"/>
      <c r="E33" s="16">
        <v>14</v>
      </c>
      <c r="F33" s="69">
        <f>[1]!CIP1072P265F2200PPL</f>
        <v>0</v>
      </c>
      <c r="G33" s="100">
        <v>0</v>
      </c>
      <c r="H33" s="101">
        <v>0</v>
      </c>
      <c r="I33" s="101">
        <v>0</v>
      </c>
      <c r="J33" s="101">
        <v>0</v>
      </c>
      <c r="K33" s="101">
        <v>0</v>
      </c>
      <c r="L33" s="101">
        <v>0</v>
      </c>
      <c r="M33" s="28">
        <f>[1]!CIP1072P265F2200</f>
        <v>0</v>
      </c>
      <c r="N33" s="6">
        <f aca="true" t="shared" si="3" ref="N33:N38">SUM(H33:L33)</f>
        <v>0</v>
      </c>
      <c r="O33" s="128" t="str">
        <f aca="true" t="shared" si="4" ref="O33:O39">IF(M33=0," ",(N33-M33)/M33)</f>
        <v> </v>
      </c>
      <c r="P33" s="67">
        <v>14</v>
      </c>
    </row>
    <row r="34" spans="1:16" ht="12.75">
      <c r="A34" s="64"/>
      <c r="B34" s="12"/>
      <c r="C34" s="12" t="s">
        <v>162</v>
      </c>
      <c r="D34" s="12"/>
      <c r="E34" s="16">
        <v>15</v>
      </c>
      <c r="F34" s="69">
        <f>[1]!CIP1072P265F2300PPL</f>
        <v>0</v>
      </c>
      <c r="G34" s="66">
        <v>0</v>
      </c>
      <c r="H34" s="28">
        <v>0</v>
      </c>
      <c r="I34" s="28">
        <v>0</v>
      </c>
      <c r="J34" s="28">
        <v>0</v>
      </c>
      <c r="K34" s="28">
        <v>0</v>
      </c>
      <c r="L34" s="28">
        <v>0</v>
      </c>
      <c r="M34" s="101">
        <f>[1]!CIP1072P265F2300</f>
        <v>0</v>
      </c>
      <c r="N34" s="15">
        <f t="shared" si="3"/>
        <v>0</v>
      </c>
      <c r="O34" s="102" t="str">
        <f t="shared" si="4"/>
        <v> </v>
      </c>
      <c r="P34" s="67">
        <v>15</v>
      </c>
    </row>
    <row r="35" spans="1:16" ht="12.75">
      <c r="A35" s="64"/>
      <c r="B35" s="12"/>
      <c r="C35" s="12" t="s">
        <v>163</v>
      </c>
      <c r="D35" s="12"/>
      <c r="E35" s="16">
        <v>16</v>
      </c>
      <c r="F35" s="69">
        <f>[1]!CIP1072P265F2400PPL</f>
        <v>0</v>
      </c>
      <c r="G35" s="66">
        <v>0</v>
      </c>
      <c r="H35" s="28">
        <v>0</v>
      </c>
      <c r="I35" s="28">
        <v>0</v>
      </c>
      <c r="J35" s="28">
        <v>0</v>
      </c>
      <c r="K35" s="28">
        <v>0</v>
      </c>
      <c r="L35" s="28">
        <v>0</v>
      </c>
      <c r="M35" s="101">
        <f>[1]!CIP1072P265F2400</f>
        <v>0</v>
      </c>
      <c r="N35" s="15">
        <f t="shared" si="3"/>
        <v>0</v>
      </c>
      <c r="O35" s="102" t="str">
        <f t="shared" si="4"/>
        <v> </v>
      </c>
      <c r="P35" s="67">
        <v>16</v>
      </c>
    </row>
    <row r="36" spans="1:16" ht="12.75">
      <c r="A36" s="64"/>
      <c r="B36" s="12"/>
      <c r="C36" s="12" t="s">
        <v>165</v>
      </c>
      <c r="D36" s="12"/>
      <c r="E36" s="16">
        <v>17</v>
      </c>
      <c r="F36" s="69">
        <f>[1]!CIP1072P265F2500PPL</f>
        <v>0</v>
      </c>
      <c r="G36" s="66">
        <v>0</v>
      </c>
      <c r="H36" s="28">
        <v>0</v>
      </c>
      <c r="I36" s="28">
        <v>0</v>
      </c>
      <c r="J36" s="28">
        <v>0</v>
      </c>
      <c r="K36" s="28">
        <v>0</v>
      </c>
      <c r="L36" s="28">
        <v>0</v>
      </c>
      <c r="M36" s="101">
        <f>[1]!CIP1072P265F2500</f>
        <v>0</v>
      </c>
      <c r="N36" s="15">
        <f t="shared" si="3"/>
        <v>0</v>
      </c>
      <c r="O36" s="102" t="str">
        <f t="shared" si="4"/>
        <v> </v>
      </c>
      <c r="P36" s="67">
        <v>17</v>
      </c>
    </row>
    <row r="37" spans="1:16" ht="12.75">
      <c r="A37" s="64"/>
      <c r="B37" s="12"/>
      <c r="C37" s="12" t="s">
        <v>166</v>
      </c>
      <c r="D37" s="12"/>
      <c r="E37" s="16">
        <v>18</v>
      </c>
      <c r="F37" s="68">
        <f>[1]!CIP1072P265F2600PPL</f>
        <v>0</v>
      </c>
      <c r="G37" s="68">
        <v>0</v>
      </c>
      <c r="H37" s="21">
        <v>0</v>
      </c>
      <c r="I37" s="21">
        <v>0</v>
      </c>
      <c r="J37" s="21">
        <v>0</v>
      </c>
      <c r="K37" s="21">
        <v>0</v>
      </c>
      <c r="L37" s="21">
        <v>0</v>
      </c>
      <c r="M37" s="101">
        <f>[1]!CIP1072P265F2600</f>
        <v>0</v>
      </c>
      <c r="N37" s="15">
        <f t="shared" si="3"/>
        <v>0</v>
      </c>
      <c r="O37" s="102" t="str">
        <f t="shared" si="4"/>
        <v> </v>
      </c>
      <c r="P37" s="67">
        <v>18</v>
      </c>
    </row>
    <row r="38" spans="1:16" ht="12.75">
      <c r="A38" s="64"/>
      <c r="B38" s="12"/>
      <c r="C38" s="12" t="s">
        <v>168</v>
      </c>
      <c r="D38" s="12"/>
      <c r="E38" s="16">
        <v>19</v>
      </c>
      <c r="F38" s="69">
        <f>[1]!CIP1072P265F2900PPL</f>
        <v>0</v>
      </c>
      <c r="G38" s="69">
        <v>0</v>
      </c>
      <c r="H38" s="20">
        <v>0</v>
      </c>
      <c r="I38" s="20">
        <v>0</v>
      </c>
      <c r="J38" s="20">
        <v>0</v>
      </c>
      <c r="K38" s="20">
        <v>0</v>
      </c>
      <c r="L38" s="20">
        <v>0</v>
      </c>
      <c r="M38" s="101">
        <f>[1]!CIP1072P265F2900</f>
        <v>0</v>
      </c>
      <c r="N38" s="15">
        <f t="shared" si="3"/>
        <v>0</v>
      </c>
      <c r="O38" s="102" t="str">
        <f t="shared" si="4"/>
        <v> </v>
      </c>
      <c r="P38" s="67">
        <v>19</v>
      </c>
    </row>
    <row r="39" spans="1:16" ht="12.75">
      <c r="A39" s="70"/>
      <c r="B39" s="103" t="s">
        <v>176</v>
      </c>
      <c r="C39" s="26"/>
      <c r="D39" s="26"/>
      <c r="E39" s="18">
        <v>20</v>
      </c>
      <c r="F39" s="139">
        <f>SUM(F29:F38)</f>
        <v>0</v>
      </c>
      <c r="G39" s="65">
        <f aca="true" t="shared" si="5" ref="G39:L39">SUM(G28:G38)</f>
        <v>0</v>
      </c>
      <c r="H39" s="6">
        <f t="shared" si="5"/>
        <v>0</v>
      </c>
      <c r="I39" s="6">
        <f t="shared" si="5"/>
        <v>0</v>
      </c>
      <c r="J39" s="6">
        <f t="shared" si="5"/>
        <v>0</v>
      </c>
      <c r="K39" s="6">
        <f t="shared" si="5"/>
        <v>0</v>
      </c>
      <c r="L39" s="6">
        <f t="shared" si="5"/>
        <v>0</v>
      </c>
      <c r="M39" s="126">
        <f>SUM(M29:M38)</f>
        <v>0</v>
      </c>
      <c r="N39" s="126">
        <f>SUM(N29:N38)</f>
        <v>0</v>
      </c>
      <c r="O39" s="127" t="str">
        <f t="shared" si="4"/>
        <v> </v>
      </c>
      <c r="P39" s="2">
        <v>20</v>
      </c>
    </row>
    <row r="40" spans="1:16" ht="12.75">
      <c r="A40" s="64"/>
      <c r="B40" s="84" t="s">
        <v>172</v>
      </c>
      <c r="C40" s="12"/>
      <c r="D40" s="12"/>
      <c r="E40" s="3"/>
      <c r="F40" s="137"/>
      <c r="G40" s="138"/>
      <c r="H40" s="96"/>
      <c r="I40" s="96"/>
      <c r="J40" s="96"/>
      <c r="K40" s="96"/>
      <c r="L40" s="98"/>
      <c r="M40" s="137"/>
      <c r="N40" s="137"/>
      <c r="O40" s="137"/>
      <c r="P40" s="2"/>
    </row>
    <row r="41" spans="1:16" ht="12.75">
      <c r="A41" s="64"/>
      <c r="B41" s="12"/>
      <c r="C41" s="12" t="s">
        <v>23</v>
      </c>
      <c r="D41" s="12"/>
      <c r="E41" s="3"/>
      <c r="F41" s="139"/>
      <c r="G41" s="140"/>
      <c r="H41" s="126"/>
      <c r="I41" s="126"/>
      <c r="J41" s="126"/>
      <c r="K41" s="126"/>
      <c r="L41" s="132"/>
      <c r="M41" s="126"/>
      <c r="N41" s="126"/>
      <c r="O41" s="133"/>
      <c r="P41" s="2"/>
    </row>
    <row r="42" spans="1:16" ht="12.75">
      <c r="A42" s="64"/>
      <c r="B42" s="12"/>
      <c r="C42" s="12" t="s">
        <v>169</v>
      </c>
      <c r="D42" s="12"/>
      <c r="E42" s="3">
        <v>21</v>
      </c>
      <c r="F42" s="69">
        <f>[1]!CIP1072P435F2700PPL</f>
        <v>0</v>
      </c>
      <c r="G42" s="136">
        <v>0</v>
      </c>
      <c r="H42" s="20">
        <v>0</v>
      </c>
      <c r="I42" s="20">
        <v>0</v>
      </c>
      <c r="J42" s="20">
        <v>0</v>
      </c>
      <c r="K42" s="20">
        <v>0</v>
      </c>
      <c r="L42" s="129">
        <v>0</v>
      </c>
      <c r="M42" s="20">
        <f>[1]!CIP1072P435F2700</f>
        <v>0</v>
      </c>
      <c r="N42" s="6">
        <f>SUM(H40:L42)</f>
        <v>0</v>
      </c>
      <c r="O42" s="134" t="str">
        <f>IF(M42=0," ",(N42-M42)/M42)</f>
        <v> </v>
      </c>
      <c r="P42" s="2">
        <v>21</v>
      </c>
    </row>
    <row r="43" spans="1:16" ht="12.75">
      <c r="A43" s="104" t="s">
        <v>177</v>
      </c>
      <c r="B43" s="71"/>
      <c r="C43" s="71"/>
      <c r="D43" s="71"/>
      <c r="E43" s="17">
        <v>22</v>
      </c>
      <c r="F43" s="65">
        <f>SUM(F39:F42)</f>
        <v>0</v>
      </c>
      <c r="G43" s="65">
        <f aca="true" t="shared" si="6" ref="G43:L43">SUM(G39:G42)</f>
        <v>0</v>
      </c>
      <c r="H43" s="15">
        <f t="shared" si="6"/>
        <v>0</v>
      </c>
      <c r="I43" s="15">
        <f t="shared" si="6"/>
        <v>0</v>
      </c>
      <c r="J43" s="15">
        <f t="shared" si="6"/>
        <v>0</v>
      </c>
      <c r="K43" s="15">
        <f t="shared" si="6"/>
        <v>0</v>
      </c>
      <c r="L43" s="15">
        <f t="shared" si="6"/>
        <v>0</v>
      </c>
      <c r="M43" s="6">
        <f>SUM(M39:M42)</f>
        <v>0</v>
      </c>
      <c r="N43" s="6">
        <f>SUM(N39:N42)</f>
        <v>0</v>
      </c>
      <c r="O43" s="134" t="str">
        <f>IF(M43=0," ",(N43-M43)/M43)</f>
        <v> </v>
      </c>
      <c r="P43" s="67">
        <v>22</v>
      </c>
    </row>
  </sheetData>
  <sheetProtection/>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0">
      <selection activeCell="R33" sqref="R33"/>
    </sheetView>
  </sheetViews>
  <sheetFormatPr defaultColWidth="9.140625" defaultRowHeight="12.75"/>
  <cols>
    <col min="1" max="2" width="1.57421875" style="144" customWidth="1"/>
    <col min="3" max="3" width="42.140625" style="144" customWidth="1"/>
    <col min="4" max="5" width="12.7109375" style="144" customWidth="1"/>
    <col min="6" max="6" width="9.7109375" style="144" customWidth="1"/>
    <col min="7" max="7" width="4.7109375" style="144" customWidth="1"/>
    <col min="8" max="8" width="27.28125" style="144" customWidth="1"/>
    <col min="9" max="9" width="5.28125" style="144" customWidth="1"/>
    <col min="10" max="12" width="12.7109375" style="144" customWidth="1"/>
    <col min="13" max="13" width="9.7109375" style="144" customWidth="1"/>
    <col min="14" max="16384" width="9.140625" style="144" customWidth="1"/>
  </cols>
  <sheetData>
    <row r="1" spans="1:12" ht="23.25" customHeight="1">
      <c r="A1" s="580" t="s">
        <v>502</v>
      </c>
      <c r="B1" s="580"/>
      <c r="C1" s="580"/>
      <c r="D1" s="580"/>
      <c r="E1" s="580"/>
      <c r="F1" s="580"/>
      <c r="G1" s="580"/>
      <c r="H1" s="580"/>
      <c r="I1" s="580"/>
      <c r="J1" s="580"/>
      <c r="K1" s="145" t="s">
        <v>190</v>
      </c>
      <c r="L1" s="146" t="str">
        <f>[0]!CTD</f>
        <v>138754000</v>
      </c>
    </row>
    <row r="2" ht="3.75" customHeight="1"/>
    <row r="3" spans="1:13" ht="12" customHeight="1">
      <c r="A3" s="162" t="s">
        <v>211</v>
      </c>
      <c r="B3" s="163"/>
      <c r="C3" s="163"/>
      <c r="D3" s="634" t="s">
        <v>61</v>
      </c>
      <c r="E3" s="635"/>
      <c r="F3" s="157" t="s">
        <v>63</v>
      </c>
      <c r="H3" s="625"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Edkey, Inc. (d.b.a. American Heritage Academy) for fiscal year 2020 was officially proposed by the Governing Board on June 28, 2019. The complete budget may be reviewed by contacting Paul K. Kremer at 4804613200 or pkremer@edkey.org.</v>
      </c>
      <c r="I3" s="626"/>
      <c r="J3" s="626"/>
      <c r="K3" s="626"/>
      <c r="L3" s="626"/>
      <c r="M3" s="627"/>
    </row>
    <row r="4" spans="1:13" ht="12" customHeight="1">
      <c r="A4" s="164"/>
      <c r="D4" s="157" t="s">
        <v>243</v>
      </c>
      <c r="E4" s="157" t="s">
        <v>55</v>
      </c>
      <c r="F4" s="165" t="s">
        <v>64</v>
      </c>
      <c r="H4" s="628"/>
      <c r="I4" s="629"/>
      <c r="J4" s="629"/>
      <c r="K4" s="629"/>
      <c r="L4" s="629"/>
      <c r="M4" s="630"/>
    </row>
    <row r="5" spans="1:13" ht="12" customHeight="1">
      <c r="A5" s="164" t="s">
        <v>21</v>
      </c>
      <c r="D5" s="510">
        <v>2019</v>
      </c>
      <c r="E5" s="510">
        <v>2020</v>
      </c>
      <c r="F5" s="166" t="s">
        <v>65</v>
      </c>
      <c r="H5" s="628"/>
      <c r="I5" s="629"/>
      <c r="J5" s="629"/>
      <c r="K5" s="629"/>
      <c r="L5" s="629"/>
      <c r="M5" s="630"/>
    </row>
    <row r="6" spans="1:13" ht="12" customHeight="1">
      <c r="A6" s="164"/>
      <c r="B6" s="144" t="s">
        <v>22</v>
      </c>
      <c r="D6" s="148">
        <f>SP1000P100F1000CY</f>
        <v>1416281</v>
      </c>
      <c r="E6" s="148">
        <f>SP1000P100F1000</f>
        <v>1451777</v>
      </c>
      <c r="F6" s="167">
        <f>IF(D6=0," ",(E6-D6)/D6)</f>
        <v>0.025</v>
      </c>
      <c r="H6" s="628"/>
      <c r="I6" s="629"/>
      <c r="J6" s="629"/>
      <c r="K6" s="629"/>
      <c r="L6" s="629"/>
      <c r="M6" s="630"/>
    </row>
    <row r="7" spans="1:13" ht="12" customHeight="1">
      <c r="A7" s="164"/>
      <c r="B7" s="144" t="s">
        <v>23</v>
      </c>
      <c r="D7" s="149"/>
      <c r="E7" s="185"/>
      <c r="F7" s="186"/>
      <c r="H7" s="631"/>
      <c r="I7" s="632"/>
      <c r="J7" s="632"/>
      <c r="K7" s="632"/>
      <c r="L7" s="632"/>
      <c r="M7" s="633"/>
    </row>
    <row r="8" spans="1:11" ht="12" customHeight="1">
      <c r="A8" s="164"/>
      <c r="C8" s="144" t="s">
        <v>191</v>
      </c>
      <c r="D8" s="150">
        <f>SP1000P100F2100CY</f>
        <v>0</v>
      </c>
      <c r="E8" s="184">
        <f>SP1000P100F2100</f>
        <v>0</v>
      </c>
      <c r="F8" s="168" t="str">
        <f>IF(D8=0," ",(E8-D8)/D8)</f>
        <v> </v>
      </c>
      <c r="H8" s="161"/>
      <c r="I8" s="161"/>
      <c r="J8" s="161"/>
      <c r="K8" s="161"/>
    </row>
    <row r="9" spans="1:13" ht="12" customHeight="1">
      <c r="A9" s="164"/>
      <c r="C9" s="144" t="s">
        <v>192</v>
      </c>
      <c r="D9" s="147">
        <f>SP1000P100F2200CY</f>
        <v>0</v>
      </c>
      <c r="E9" s="147">
        <f>SP1000P100F2200</f>
        <v>0</v>
      </c>
      <c r="F9" s="171" t="str">
        <f>IF(D9=0," ",(E9-D9)/D9)</f>
        <v> </v>
      </c>
      <c r="H9" s="173"/>
      <c r="I9" s="163"/>
      <c r="J9" s="174"/>
      <c r="K9" s="636" t="s">
        <v>61</v>
      </c>
      <c r="L9" s="637"/>
      <c r="M9" s="157" t="s">
        <v>63</v>
      </c>
    </row>
    <row r="10" spans="1:13" ht="12" customHeight="1">
      <c r="A10" s="164"/>
      <c r="C10" s="144" t="s">
        <v>193</v>
      </c>
      <c r="D10" s="147">
        <f>SP1000P100F2300CY</f>
        <v>292300</v>
      </c>
      <c r="E10" s="147">
        <f>SP1000P100F2300</f>
        <v>306211</v>
      </c>
      <c r="F10" s="167">
        <f aca="true" t="shared" si="0" ref="F10:F21">IF(D10=0," ",(E10-D10)/D10)</f>
        <v>0.048</v>
      </c>
      <c r="H10" s="175" t="s">
        <v>205</v>
      </c>
      <c r="I10" s="179"/>
      <c r="J10" s="180"/>
      <c r="K10" s="157" t="s">
        <v>243</v>
      </c>
      <c r="L10" s="157" t="s">
        <v>55</v>
      </c>
      <c r="M10" s="165" t="s">
        <v>64</v>
      </c>
    </row>
    <row r="11" spans="1:13" ht="12" customHeight="1">
      <c r="A11" s="164"/>
      <c r="C11" s="144" t="s">
        <v>194</v>
      </c>
      <c r="D11" s="147">
        <f>SP1000P100F2400CY</f>
        <v>356618</v>
      </c>
      <c r="E11" s="147">
        <f>SP1000P100F2400</f>
        <v>343830</v>
      </c>
      <c r="F11" s="167">
        <f t="shared" si="0"/>
        <v>-0.036</v>
      </c>
      <c r="H11" s="176"/>
      <c r="I11" s="181"/>
      <c r="J11" s="151"/>
      <c r="K11" s="510">
        <v>2019</v>
      </c>
      <c r="L11" s="510">
        <v>2020</v>
      </c>
      <c r="M11" s="166" t="s">
        <v>65</v>
      </c>
    </row>
    <row r="12" spans="1:13" ht="12" customHeight="1">
      <c r="A12" s="164"/>
      <c r="C12" s="144" t="s">
        <v>195</v>
      </c>
      <c r="D12" s="147">
        <f>SP1000P100F2500CY</f>
        <v>66950</v>
      </c>
      <c r="E12" s="147">
        <f>SP1000P100F2500</f>
        <v>68471</v>
      </c>
      <c r="F12" s="167">
        <f t="shared" si="0"/>
        <v>0.023</v>
      </c>
      <c r="H12" s="177" t="s">
        <v>262</v>
      </c>
      <c r="I12" s="145"/>
      <c r="J12" s="180"/>
      <c r="K12" s="148">
        <f>'Page 2'!M5</f>
        <v>137417</v>
      </c>
      <c r="L12" s="542">
        <v>139513</v>
      </c>
      <c r="M12" s="167">
        <f aca="true" t="shared" si="1" ref="M12:M19">IF(K12=0," ",(L12-K12)/K12)</f>
        <v>0.015</v>
      </c>
    </row>
    <row r="13" spans="1:13" ht="12" customHeight="1">
      <c r="A13" s="164"/>
      <c r="C13" s="144" t="s">
        <v>196</v>
      </c>
      <c r="D13" s="147">
        <f>SP1000P100F2600CY</f>
        <v>467616</v>
      </c>
      <c r="E13" s="147">
        <f>SP1000P100F2600</f>
        <v>369294</v>
      </c>
      <c r="F13" s="167">
        <f t="shared" si="0"/>
        <v>-0.21</v>
      </c>
      <c r="H13" s="177" t="s">
        <v>33</v>
      </c>
      <c r="I13" s="145"/>
      <c r="J13" s="180"/>
      <c r="K13" s="148">
        <f>P200GiftedEducationCY</f>
        <v>0</v>
      </c>
      <c r="L13" s="147">
        <f>P200GiftedEducation</f>
        <v>0</v>
      </c>
      <c r="M13" s="167" t="str">
        <f t="shared" si="1"/>
        <v> </v>
      </c>
    </row>
    <row r="14" spans="1:13" ht="12" customHeight="1">
      <c r="A14" s="164"/>
      <c r="C14" s="144" t="s">
        <v>197</v>
      </c>
      <c r="D14" s="147">
        <f>SP1000P100F2900CY</f>
        <v>0</v>
      </c>
      <c r="E14" s="147">
        <f>SP1000P100F2900</f>
        <v>0</v>
      </c>
      <c r="F14" s="167" t="str">
        <f t="shared" si="0"/>
        <v> </v>
      </c>
      <c r="H14" s="177" t="s">
        <v>145</v>
      </c>
      <c r="I14" s="145"/>
      <c r="J14" s="180"/>
      <c r="K14" s="148">
        <f>P200ELLIncrementalCostsCY</f>
        <v>0</v>
      </c>
      <c r="L14" s="147">
        <f>P200ELLIncrementalCosts</f>
        <v>0</v>
      </c>
      <c r="M14" s="167" t="str">
        <f t="shared" si="1"/>
        <v> </v>
      </c>
    </row>
    <row r="15" spans="1:13" ht="12" customHeight="1">
      <c r="A15" s="164"/>
      <c r="B15" s="144" t="s">
        <v>26</v>
      </c>
      <c r="D15" s="147">
        <f>SP1000P100F3000CY</f>
        <v>157506</v>
      </c>
      <c r="E15" s="147">
        <f>SP1000P100F3000</f>
        <v>160751</v>
      </c>
      <c r="F15" s="167">
        <f t="shared" si="0"/>
        <v>0.021</v>
      </c>
      <c r="H15" s="177" t="s">
        <v>146</v>
      </c>
      <c r="I15" s="145"/>
      <c r="J15" s="180"/>
      <c r="K15" s="147">
        <f>P200ELLCompensatoryInstructionCY</f>
        <v>0</v>
      </c>
      <c r="L15" s="147">
        <f>P200ELLCompensatoryInstruction</f>
        <v>0</v>
      </c>
      <c r="M15" s="167" t="str">
        <f t="shared" si="1"/>
        <v> </v>
      </c>
    </row>
    <row r="16" spans="1:13" ht="12" customHeight="1">
      <c r="A16" s="164"/>
      <c r="B16" s="144" t="s">
        <v>150</v>
      </c>
      <c r="D16" s="147">
        <f>SP1000P100F4000CY</f>
        <v>0</v>
      </c>
      <c r="E16" s="147">
        <f>SP1000P100F4000</f>
        <v>0</v>
      </c>
      <c r="F16" s="167" t="str">
        <f t="shared" si="0"/>
        <v> </v>
      </c>
      <c r="H16" s="177" t="s">
        <v>34</v>
      </c>
      <c r="I16" s="145"/>
      <c r="J16" s="180"/>
      <c r="K16" s="147">
        <f>P200RemedialEducationCY</f>
        <v>0</v>
      </c>
      <c r="L16" s="147">
        <f>P200RemedialEducation</f>
        <v>0</v>
      </c>
      <c r="M16" s="167" t="str">
        <f t="shared" si="1"/>
        <v> </v>
      </c>
    </row>
    <row r="17" spans="1:13" ht="12" customHeight="1">
      <c r="A17" s="164"/>
      <c r="B17" s="144" t="s">
        <v>27</v>
      </c>
      <c r="D17" s="147">
        <f>SP1000P100F5000CY</f>
        <v>413684</v>
      </c>
      <c r="E17" s="147">
        <f>SP1000P100F5000</f>
        <v>413684</v>
      </c>
      <c r="F17" s="167">
        <f t="shared" si="0"/>
        <v>0</v>
      </c>
      <c r="H17" s="511" t="s">
        <v>499</v>
      </c>
      <c r="I17" s="145"/>
      <c r="J17" s="180"/>
      <c r="K17" s="147">
        <f>P200VocationalandTechnologicalEdCY</f>
        <v>0</v>
      </c>
      <c r="L17" s="147">
        <f>P200VocationalandTechnologicalEd</f>
        <v>0</v>
      </c>
      <c r="M17" s="167" t="str">
        <f t="shared" si="1"/>
        <v> </v>
      </c>
    </row>
    <row r="18" spans="1:13" ht="12" customHeight="1">
      <c r="A18" s="164" t="s">
        <v>76</v>
      </c>
      <c r="D18" s="147">
        <f>SP1000P610CY</f>
        <v>0</v>
      </c>
      <c r="E18" s="147">
        <f>SP1000P610</f>
        <v>0</v>
      </c>
      <c r="F18" s="167" t="str">
        <f t="shared" si="0"/>
        <v> </v>
      </c>
      <c r="H18" s="177" t="s">
        <v>35</v>
      </c>
      <c r="I18" s="145"/>
      <c r="J18" s="180"/>
      <c r="K18" s="160">
        <f>P200CareerEducationCY</f>
        <v>0</v>
      </c>
      <c r="L18" s="160">
        <f>P200CareerEducation</f>
        <v>0</v>
      </c>
      <c r="M18" s="167" t="str">
        <f t="shared" si="1"/>
        <v> </v>
      </c>
    </row>
    <row r="19" spans="1:13" ht="12" customHeight="1">
      <c r="A19" s="164" t="s">
        <v>78</v>
      </c>
      <c r="D19" s="147">
        <f>SP1000P620CY</f>
        <v>0</v>
      </c>
      <c r="E19" s="147">
        <f>SP1000P620</f>
        <v>0</v>
      </c>
      <c r="F19" s="167" t="str">
        <f t="shared" si="0"/>
        <v> </v>
      </c>
      <c r="H19" s="638" t="s">
        <v>202</v>
      </c>
      <c r="I19" s="639"/>
      <c r="J19" s="639"/>
      <c r="K19" s="147">
        <f>SUM(K12:K18)</f>
        <v>137417</v>
      </c>
      <c r="L19" s="147">
        <f>SUM(L12:L18)</f>
        <v>139513</v>
      </c>
      <c r="M19" s="170">
        <f t="shared" si="1"/>
        <v>0.015</v>
      </c>
    </row>
    <row r="20" spans="1:13" ht="12" customHeight="1">
      <c r="A20" s="164" t="s">
        <v>77</v>
      </c>
      <c r="D20" s="147">
        <f>SP1000P630700800900CY</f>
        <v>2408</v>
      </c>
      <c r="E20" s="147">
        <f>SP1000P630700800900</f>
        <v>2408</v>
      </c>
      <c r="F20" s="167">
        <f t="shared" si="0"/>
        <v>0</v>
      </c>
      <c r="H20" s="145"/>
      <c r="I20" s="145"/>
      <c r="K20" s="222"/>
      <c r="L20" s="222"/>
      <c r="M20" s="223"/>
    </row>
    <row r="21" spans="1:13" ht="12" customHeight="1">
      <c r="A21" s="169"/>
      <c r="B21" s="146" t="s">
        <v>198</v>
      </c>
      <c r="C21" s="151"/>
      <c r="D21" s="147">
        <f>SUM(D6:D20)</f>
        <v>3173363</v>
      </c>
      <c r="E21" s="147">
        <f>SUM(E6:E20)</f>
        <v>3116426</v>
      </c>
      <c r="F21" s="167">
        <f t="shared" si="0"/>
        <v>-0.018</v>
      </c>
      <c r="H21" s="621" t="s">
        <v>210</v>
      </c>
      <c r="I21" s="622"/>
      <c r="J21" s="622"/>
      <c r="K21" s="622"/>
      <c r="L21" s="623"/>
      <c r="M21" s="223"/>
    </row>
    <row r="22" spans="1:13" ht="12" customHeight="1">
      <c r="A22" s="164" t="s">
        <v>28</v>
      </c>
      <c r="D22" s="149"/>
      <c r="E22" s="185"/>
      <c r="F22" s="186"/>
      <c r="H22" s="164"/>
      <c r="J22" s="642" t="s">
        <v>61</v>
      </c>
      <c r="K22" s="643"/>
      <c r="L22" s="165" t="s">
        <v>63</v>
      </c>
      <c r="M22" s="223"/>
    </row>
    <row r="23" spans="1:13" ht="12" customHeight="1">
      <c r="A23" s="164"/>
      <c r="B23" s="144" t="s">
        <v>22</v>
      </c>
      <c r="D23" s="152">
        <f>SP1000P200F1000CY</f>
        <v>97390</v>
      </c>
      <c r="E23" s="187">
        <f>SP1000P200F1000</f>
        <v>88525</v>
      </c>
      <c r="F23" s="168">
        <f>IF(D23=0," ",(E23-D23)/D23)</f>
        <v>-0.091</v>
      </c>
      <c r="H23" s="164"/>
      <c r="J23" s="158" t="s">
        <v>243</v>
      </c>
      <c r="K23" s="158" t="s">
        <v>55</v>
      </c>
      <c r="L23" s="165" t="s">
        <v>64</v>
      </c>
      <c r="M23" s="223"/>
    </row>
    <row r="24" spans="1:13" ht="12" customHeight="1">
      <c r="A24" s="164"/>
      <c r="B24" s="144" t="s">
        <v>23</v>
      </c>
      <c r="D24" s="153"/>
      <c r="E24" s="153"/>
      <c r="F24" s="171"/>
      <c r="H24" s="178"/>
      <c r="J24" s="510">
        <v>2019</v>
      </c>
      <c r="K24" s="510">
        <v>2020</v>
      </c>
      <c r="L24" s="166" t="s">
        <v>65</v>
      </c>
      <c r="M24" s="223"/>
    </row>
    <row r="25" spans="1:13" ht="12" customHeight="1">
      <c r="A25" s="164"/>
      <c r="C25" s="144" t="s">
        <v>191</v>
      </c>
      <c r="D25" s="148">
        <f>SP1000P200F2100CY</f>
        <v>0</v>
      </c>
      <c r="E25" s="148">
        <f>SP1000P200F2100</f>
        <v>0</v>
      </c>
      <c r="F25" s="168" t="str">
        <f aca="true" t="shared" si="2" ref="F25:F41">IF(D25=0," ",(E25-D25)/D25)</f>
        <v> </v>
      </c>
      <c r="H25" s="172" t="s">
        <v>206</v>
      </c>
      <c r="I25" s="154"/>
      <c r="J25" s="148">
        <f>SP1000TotalCY</f>
        <v>3474343</v>
      </c>
      <c r="K25" s="148">
        <f>SP1000Total</f>
        <v>3433049</v>
      </c>
      <c r="L25" s="170">
        <f>IF(J25=0," ",(K25-J25)/J25)</f>
        <v>-0.012</v>
      </c>
      <c r="M25" s="223"/>
    </row>
    <row r="26" spans="1:13" ht="12" customHeight="1">
      <c r="A26" s="164"/>
      <c r="C26" s="144" t="s">
        <v>192</v>
      </c>
      <c r="D26" s="148">
        <f>SP1000P200F2200CY</f>
        <v>0</v>
      </c>
      <c r="E26" s="148">
        <f>SP1000P200F2200</f>
        <v>0</v>
      </c>
      <c r="F26" s="171" t="str">
        <f t="shared" si="2"/>
        <v> </v>
      </c>
      <c r="H26" s="172" t="s">
        <v>203</v>
      </c>
      <c r="I26" s="154"/>
      <c r="J26" s="147">
        <f>SP1000ClassSiteProjCY</f>
        <v>189880</v>
      </c>
      <c r="K26" s="530">
        <f>SP1000ClassSiteProj</f>
        <v>195644</v>
      </c>
      <c r="L26" s="170">
        <f aca="true" t="shared" si="3" ref="L26:L33">IF(J26=0," ",(K26-J26)/J26)</f>
        <v>0.03</v>
      </c>
      <c r="M26" s="223"/>
    </row>
    <row r="27" spans="1:13" ht="12" customHeight="1">
      <c r="A27" s="164"/>
      <c r="C27" s="144" t="s">
        <v>193</v>
      </c>
      <c r="D27" s="148">
        <f>SP1000P200F2300CY</f>
        <v>40027</v>
      </c>
      <c r="E27" s="148">
        <f>SP1000P200F2300</f>
        <v>50988</v>
      </c>
      <c r="F27" s="167">
        <f t="shared" si="2"/>
        <v>0.274</v>
      </c>
      <c r="H27" s="172" t="s">
        <v>212</v>
      </c>
      <c r="I27" s="154"/>
      <c r="J27" s="147">
        <f>SP1000InstrImpProjCY</f>
        <v>25287</v>
      </c>
      <c r="K27" s="147">
        <f>SP1000InstrImpProj</f>
        <v>25831</v>
      </c>
      <c r="L27" s="170">
        <f t="shared" si="3"/>
        <v>0.022</v>
      </c>
      <c r="M27" s="223"/>
    </row>
    <row r="28" spans="1:13" ht="12" customHeight="1">
      <c r="A28" s="164"/>
      <c r="C28" s="144" t="s">
        <v>194</v>
      </c>
      <c r="D28" s="148">
        <f>SP1000P200F2400CY</f>
        <v>0</v>
      </c>
      <c r="E28" s="148">
        <f>SP1000P200F2400</f>
        <v>0</v>
      </c>
      <c r="F28" s="167" t="str">
        <f t="shared" si="2"/>
        <v> </v>
      </c>
      <c r="H28" s="104" t="s">
        <v>503</v>
      </c>
      <c r="I28" s="154"/>
      <c r="J28" s="147">
        <f>SP1000StruEngImmProjCY</f>
        <v>0</v>
      </c>
      <c r="K28" s="147">
        <f>SP1000StruEngImmProj</f>
        <v>0</v>
      </c>
      <c r="L28" s="170" t="str">
        <f t="shared" si="3"/>
        <v> </v>
      </c>
      <c r="M28" s="223"/>
    </row>
    <row r="29" spans="1:13" ht="12" customHeight="1">
      <c r="A29" s="164"/>
      <c r="C29" s="144" t="s">
        <v>195</v>
      </c>
      <c r="D29" s="148">
        <f>SP1000P200F2500CY</f>
        <v>0</v>
      </c>
      <c r="E29" s="148">
        <f>SP1000P200F2500</f>
        <v>0</v>
      </c>
      <c r="F29" s="167" t="str">
        <f t="shared" si="2"/>
        <v> </v>
      </c>
      <c r="H29" s="172" t="s">
        <v>146</v>
      </c>
      <c r="I29" s="154"/>
      <c r="J29" s="147">
        <f>SP1000CompInstrProjCY</f>
        <v>0</v>
      </c>
      <c r="K29" s="147">
        <f>SP1000CompInstrProj</f>
        <v>0</v>
      </c>
      <c r="L29" s="170" t="str">
        <f t="shared" si="3"/>
        <v> </v>
      </c>
      <c r="M29" s="223"/>
    </row>
    <row r="30" spans="1:13" ht="12" customHeight="1">
      <c r="A30" s="164"/>
      <c r="C30" s="144" t="s">
        <v>196</v>
      </c>
      <c r="D30" s="148">
        <f>SP1000P200F2600CY</f>
        <v>0</v>
      </c>
      <c r="E30" s="148">
        <f>SP1000P200F2600</f>
        <v>0</v>
      </c>
      <c r="F30" s="167" t="str">
        <f t="shared" si="2"/>
        <v> </v>
      </c>
      <c r="H30" s="172" t="s">
        <v>207</v>
      </c>
      <c r="I30" s="154"/>
      <c r="J30" s="147">
        <f>TotalFederalProjectsCY</f>
        <v>219548</v>
      </c>
      <c r="K30" s="147">
        <f>TotalFederalProjects</f>
        <v>244863</v>
      </c>
      <c r="L30" s="170">
        <f t="shared" si="3"/>
        <v>0.115</v>
      </c>
      <c r="M30" s="223"/>
    </row>
    <row r="31" spans="1:13" ht="12" customHeight="1">
      <c r="A31" s="164"/>
      <c r="C31" s="144" t="s">
        <v>197</v>
      </c>
      <c r="D31" s="148">
        <f>SP1000P200F2900CY</f>
        <v>0</v>
      </c>
      <c r="E31" s="148">
        <f>SP1000P200F2900</f>
        <v>0</v>
      </c>
      <c r="F31" s="167" t="str">
        <f t="shared" si="2"/>
        <v> </v>
      </c>
      <c r="H31" s="172" t="s">
        <v>208</v>
      </c>
      <c r="I31" s="154"/>
      <c r="J31" s="147">
        <f>TotalStateProjectsCY</f>
        <v>0</v>
      </c>
      <c r="K31" s="147">
        <f>TotalStateProjects</f>
        <v>0</v>
      </c>
      <c r="L31" s="170" t="str">
        <f t="shared" si="3"/>
        <v> </v>
      </c>
      <c r="M31" s="223"/>
    </row>
    <row r="32" spans="1:13" ht="12" customHeight="1">
      <c r="A32" s="164"/>
      <c r="B32" s="144" t="s">
        <v>26</v>
      </c>
      <c r="D32" s="148">
        <f>SP1000P200F3000CY</f>
        <v>0</v>
      </c>
      <c r="E32" s="148">
        <f>SP1000P200F3000</f>
        <v>0</v>
      </c>
      <c r="F32" s="167" t="str">
        <f t="shared" si="2"/>
        <v> </v>
      </c>
      <c r="H32" s="172" t="s">
        <v>209</v>
      </c>
      <c r="I32" s="154"/>
      <c r="J32" s="147">
        <f>TotalCapitalAcquisitionsCY</f>
        <v>10200</v>
      </c>
      <c r="K32" s="147">
        <f>TotalCapitalAcquisitions</f>
        <v>3500</v>
      </c>
      <c r="L32" s="170">
        <f t="shared" si="3"/>
        <v>-0.657</v>
      </c>
      <c r="M32" s="223"/>
    </row>
    <row r="33" spans="1:12" ht="12" customHeight="1">
      <c r="A33" s="164"/>
      <c r="B33" s="144" t="s">
        <v>150</v>
      </c>
      <c r="D33" s="148">
        <f>SP1000P200F4000CY</f>
        <v>0</v>
      </c>
      <c r="E33" s="148">
        <f>SP1000P200F4000</f>
        <v>0</v>
      </c>
      <c r="F33" s="167" t="str">
        <f t="shared" si="2"/>
        <v> </v>
      </c>
      <c r="H33" s="172" t="s">
        <v>204</v>
      </c>
      <c r="I33" s="154"/>
      <c r="J33" s="147">
        <f>SUM(J25:J32)</f>
        <v>3919258</v>
      </c>
      <c r="K33" s="147">
        <f>SUM(K25:K32)</f>
        <v>3902887</v>
      </c>
      <c r="L33" s="170">
        <f t="shared" si="3"/>
        <v>-0.004</v>
      </c>
    </row>
    <row r="34" spans="1:6" ht="12" customHeight="1">
      <c r="A34" s="164"/>
      <c r="B34" s="144" t="s">
        <v>27</v>
      </c>
      <c r="D34" s="148">
        <f>SP1000P200F5000CY</f>
        <v>0</v>
      </c>
      <c r="E34" s="148">
        <f>SP1000P200F5000</f>
        <v>0</v>
      </c>
      <c r="F34" s="167" t="str">
        <f t="shared" si="2"/>
        <v> </v>
      </c>
    </row>
    <row r="35" spans="1:14" ht="12" customHeight="1">
      <c r="A35" s="164"/>
      <c r="B35" s="144" t="s">
        <v>199</v>
      </c>
      <c r="C35" s="180"/>
      <c r="D35" s="160">
        <f>SUM(D23:D34)</f>
        <v>137417</v>
      </c>
      <c r="E35" s="160">
        <f>SUM(E23:E34)</f>
        <v>139513</v>
      </c>
      <c r="F35" s="167">
        <f t="shared" si="2"/>
        <v>0.015</v>
      </c>
      <c r="H35" s="624" t="s">
        <v>327</v>
      </c>
      <c r="I35" s="624"/>
      <c r="J35" s="624"/>
      <c r="K35" s="624"/>
      <c r="L35" s="624"/>
      <c r="M35" s="653">
        <f>IF(L37&lt;1,"Enter Average Salary on the Budget Cover","")</f>
      </c>
      <c r="N35" s="495"/>
    </row>
    <row r="36" spans="1:14" ht="0.75" customHeight="1">
      <c r="A36" s="169" t="s">
        <v>200</v>
      </c>
      <c r="B36" s="146"/>
      <c r="C36" s="151"/>
      <c r="D36" s="148"/>
      <c r="E36" s="148"/>
      <c r="F36" s="168"/>
      <c r="J36" s="234"/>
      <c r="K36" s="234"/>
      <c r="L36" s="234"/>
      <c r="M36" s="653"/>
      <c r="N36" s="495"/>
    </row>
    <row r="37" spans="1:14" ht="12" customHeight="1">
      <c r="A37" s="172" t="s">
        <v>29</v>
      </c>
      <c r="B37" s="154"/>
      <c r="C37" s="155"/>
      <c r="D37" s="147">
        <f>SP1000P400CY</f>
        <v>145424</v>
      </c>
      <c r="E37" s="147">
        <f>SP1000P400</f>
        <v>154221</v>
      </c>
      <c r="F37" s="170">
        <f t="shared" si="2"/>
        <v>0.06</v>
      </c>
      <c r="H37" s="640" t="s">
        <v>504</v>
      </c>
      <c r="I37" s="640"/>
      <c r="J37" s="640"/>
      <c r="K37" s="640"/>
      <c r="L37" s="543">
        <f>BudgetYearSalary</f>
        <v>41316</v>
      </c>
      <c r="M37" s="653"/>
      <c r="N37" s="495"/>
    </row>
    <row r="38" spans="1:14" ht="12" customHeight="1">
      <c r="A38" s="172" t="s">
        <v>30</v>
      </c>
      <c r="B38" s="154"/>
      <c r="C38" s="155"/>
      <c r="D38" s="147">
        <f>SP1000P530CY</f>
        <v>0</v>
      </c>
      <c r="E38" s="147">
        <f>SP1000P530</f>
        <v>0</v>
      </c>
      <c r="F38" s="170" t="str">
        <f t="shared" si="2"/>
        <v> </v>
      </c>
      <c r="H38" s="640" t="s">
        <v>505</v>
      </c>
      <c r="I38" s="640"/>
      <c r="J38" s="640"/>
      <c r="K38" s="640"/>
      <c r="L38" s="543">
        <f>PriorYearSalary</f>
        <v>39877</v>
      </c>
      <c r="M38" s="653"/>
      <c r="N38" s="495"/>
    </row>
    <row r="39" spans="1:14" ht="12" customHeight="1">
      <c r="A39" s="172" t="s">
        <v>201</v>
      </c>
      <c r="B39" s="154"/>
      <c r="C39" s="155"/>
      <c r="D39" s="147">
        <f>SP1000P540CY</f>
        <v>0</v>
      </c>
      <c r="E39" s="147">
        <f>SP1000P540</f>
        <v>0</v>
      </c>
      <c r="F39" s="170" t="str">
        <f t="shared" si="2"/>
        <v> </v>
      </c>
      <c r="H39" s="640" t="s">
        <v>506</v>
      </c>
      <c r="I39" s="640"/>
      <c r="J39" s="640"/>
      <c r="K39" s="640"/>
      <c r="L39" s="543">
        <f>SalaryIncreaseFromPriorYear</f>
        <v>1439</v>
      </c>
      <c r="M39" s="653"/>
      <c r="N39" s="495"/>
    </row>
    <row r="40" spans="1:14" ht="12" customHeight="1">
      <c r="A40" s="169" t="s">
        <v>213</v>
      </c>
      <c r="B40" s="146"/>
      <c r="C40" s="151"/>
      <c r="D40" s="147">
        <f>SP1000P550CY</f>
        <v>18139</v>
      </c>
      <c r="E40" s="147">
        <f>SP1000P550</f>
        <v>22889</v>
      </c>
      <c r="F40" s="170">
        <f t="shared" si="2"/>
        <v>0.262</v>
      </c>
      <c r="H40" s="641" t="s">
        <v>282</v>
      </c>
      <c r="I40" s="641"/>
      <c r="J40" s="641"/>
      <c r="K40" s="641"/>
      <c r="L40" s="544">
        <f>SalaryPercentageIncrease</f>
        <v>0.036</v>
      </c>
      <c r="M40" s="653"/>
      <c r="N40" s="495"/>
    </row>
    <row r="41" spans="1:13" ht="12" customHeight="1">
      <c r="A41" s="169"/>
      <c r="B41" s="146"/>
      <c r="C41" s="151" t="s">
        <v>202</v>
      </c>
      <c r="D41" s="148">
        <f>SUM(D35:D40)+D21</f>
        <v>3474343</v>
      </c>
      <c r="E41" s="148">
        <f>SUM(E35:E40)+E21</f>
        <v>3433049</v>
      </c>
      <c r="F41" s="170">
        <f t="shared" si="2"/>
        <v>-0.012</v>
      </c>
      <c r="H41" s="644" t="str">
        <f>IF(AverageSalaryCalculationComment&lt;&gt;"",AverageSalaryCalculationComment,"")</f>
        <v>Comments on average salary calculation (optional):</v>
      </c>
      <c r="I41" s="645"/>
      <c r="J41" s="645"/>
      <c r="K41" s="645"/>
      <c r="L41" s="646"/>
      <c r="M41" s="653"/>
    </row>
    <row r="42" spans="4:13" ht="12" customHeight="1">
      <c r="D42" s="222"/>
      <c r="E42" s="222"/>
      <c r="F42" s="223"/>
      <c r="H42" s="647"/>
      <c r="I42" s="648"/>
      <c r="J42" s="648"/>
      <c r="K42" s="648"/>
      <c r="L42" s="649"/>
      <c r="M42" s="653"/>
    </row>
    <row r="43" spans="8:13" ht="12" customHeight="1">
      <c r="H43" s="647"/>
      <c r="I43" s="648"/>
      <c r="J43" s="648"/>
      <c r="K43" s="648"/>
      <c r="L43" s="649"/>
      <c r="M43" s="653"/>
    </row>
    <row r="44" spans="8:13" ht="12" customHeight="1">
      <c r="H44" s="647"/>
      <c r="I44" s="648"/>
      <c r="J44" s="648"/>
      <c r="K44" s="648"/>
      <c r="L44" s="649"/>
      <c r="M44" s="653"/>
    </row>
    <row r="45" spans="8:13" ht="12" customHeight="1">
      <c r="H45" s="650"/>
      <c r="I45" s="651"/>
      <c r="J45" s="651"/>
      <c r="K45" s="651"/>
      <c r="L45" s="652"/>
      <c r="M45" s="653"/>
    </row>
    <row r="46" spans="8:13" ht="12" customHeight="1">
      <c r="H46" s="512" t="s">
        <v>469</v>
      </c>
      <c r="I46" s="513"/>
      <c r="J46" s="513"/>
      <c r="K46" s="513"/>
      <c r="L46" s="514">
        <f>FY18Average</f>
        <v>37823</v>
      </c>
      <c r="M46" s="496"/>
    </row>
    <row r="47" spans="8:13" ht="12" customHeight="1">
      <c r="H47" s="512" t="s">
        <v>470</v>
      </c>
      <c r="I47" s="513"/>
      <c r="J47" s="513"/>
      <c r="K47" s="513"/>
      <c r="L47" s="515">
        <f>IncreaseSinceFY18</f>
        <v>0.092</v>
      </c>
      <c r="M47" s="496"/>
    </row>
    <row r="48" ht="12.75" customHeight="1"/>
    <row r="49" ht="12.75" customHeight="1"/>
    <row r="50" ht="12.75" customHeight="1"/>
    <row r="51" ht="12.75" customHeight="1"/>
    <row r="52" ht="12.75" customHeight="1"/>
    <row r="53" spans="8:10" ht="12.75" customHeight="1">
      <c r="H53" s="156"/>
      <c r="J53" s="159"/>
    </row>
    <row r="54" ht="12.75" customHeight="1"/>
    <row r="55" ht="12.75" customHeight="1"/>
  </sheetData>
  <sheetProtection/>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76">
      <selection activeCell="N77" sqref="N77"/>
    </sheetView>
  </sheetViews>
  <sheetFormatPr defaultColWidth="9.140625" defaultRowHeight="12.75"/>
  <cols>
    <col min="1" max="2" width="3.421875" style="84" customWidth="1"/>
    <col min="3" max="3" width="5.421875" style="84" customWidth="1"/>
    <col min="4" max="4" width="6.421875" style="84" customWidth="1"/>
    <col min="5" max="5" width="31.140625" style="84" customWidth="1"/>
    <col min="6" max="6" width="1.57421875" style="84" customWidth="1"/>
    <col min="7" max="7" width="12.57421875" style="84" customWidth="1"/>
    <col min="8" max="8" width="1.57421875" style="84" customWidth="1"/>
    <col min="9" max="10" width="12.57421875" style="84" customWidth="1"/>
    <col min="11" max="11" width="1.57421875" style="84" customWidth="1"/>
    <col min="12" max="12" width="10.7109375" style="84" customWidth="1"/>
    <col min="13" max="15" width="12.57421875" style="84" customWidth="1"/>
    <col min="16" max="19" width="10.7109375" style="84" customWidth="1"/>
    <col min="20" max="16384" width="9.140625" style="84" customWidth="1"/>
  </cols>
  <sheetData>
    <row r="1" spans="1:16" ht="12.75">
      <c r="A1" s="290" t="s">
        <v>0</v>
      </c>
      <c r="B1" s="290"/>
      <c r="C1" s="290"/>
      <c r="D1" s="290"/>
      <c r="E1" s="478" t="str">
        <f>Cover!D1</f>
        <v>Edkey, Inc.</v>
      </c>
      <c r="F1" s="287"/>
      <c r="G1" s="106"/>
      <c r="I1" s="106"/>
      <c r="K1" s="285" t="s">
        <v>1</v>
      </c>
      <c r="L1" s="396" t="str">
        <f>Cover!M1</f>
        <v>Yavapia</v>
      </c>
      <c r="M1" s="395"/>
      <c r="N1" s="286"/>
      <c r="O1" s="285" t="s">
        <v>89</v>
      </c>
      <c r="P1" s="389" t="str">
        <f>CTD</f>
        <v>138754000</v>
      </c>
    </row>
    <row r="5" spans="1:29" ht="15">
      <c r="A5" s="454" t="s">
        <v>448</v>
      </c>
      <c r="C5" s="280"/>
      <c r="D5" s="278"/>
      <c r="E5" s="277"/>
      <c r="F5" s="277"/>
      <c r="Q5" s="580"/>
      <c r="R5" s="580"/>
      <c r="S5" s="580"/>
      <c r="T5" s="580"/>
      <c r="U5" s="580"/>
      <c r="V5" s="580"/>
      <c r="W5" s="580"/>
      <c r="X5" s="580"/>
      <c r="Y5" s="580"/>
      <c r="Z5" s="580"/>
      <c r="AA5" s="580"/>
      <c r="AB5" s="580"/>
      <c r="AC5" s="580"/>
    </row>
    <row r="7" spans="1:15" s="450" customFormat="1" ht="46.5" customHeight="1">
      <c r="A7" s="468" t="str">
        <f>IF(B8="X","X",IF(B9="x","x",IF(B10="X","X",IF(B11="X","X",""))))</f>
        <v>X</v>
      </c>
      <c r="B7" s="655" t="s">
        <v>447</v>
      </c>
      <c r="C7" s="655"/>
      <c r="D7" s="655"/>
      <c r="E7" s="655"/>
      <c r="F7" s="655"/>
      <c r="G7" s="655"/>
      <c r="H7" s="655"/>
      <c r="I7" s="655"/>
      <c r="J7" s="655"/>
      <c r="K7" s="655"/>
      <c r="L7" s="655"/>
      <c r="M7" s="655"/>
      <c r="N7" s="655"/>
      <c r="O7" s="449"/>
    </row>
    <row r="8" spans="1:15" ht="27" customHeight="1">
      <c r="A8" s="278"/>
      <c r="B8" s="341"/>
      <c r="D8" s="692" t="s">
        <v>383</v>
      </c>
      <c r="E8" s="692"/>
      <c r="F8" s="692"/>
      <c r="G8" s="692"/>
      <c r="H8" s="692"/>
      <c r="I8" s="692"/>
      <c r="J8" s="692"/>
      <c r="K8" s="692"/>
      <c r="L8" s="692"/>
      <c r="M8" s="692"/>
      <c r="N8" s="692"/>
      <c r="O8" s="281"/>
    </row>
    <row r="9" spans="1:15" ht="27.75" customHeight="1" thickBot="1">
      <c r="A9" s="278"/>
      <c r="B9" s="545"/>
      <c r="D9" s="692" t="s">
        <v>384</v>
      </c>
      <c r="E9" s="692"/>
      <c r="F9" s="692"/>
      <c r="G9" s="692"/>
      <c r="H9" s="692"/>
      <c r="I9" s="692"/>
      <c r="J9" s="692"/>
      <c r="K9" s="692"/>
      <c r="L9" s="692"/>
      <c r="M9" s="692"/>
      <c r="N9" s="692"/>
      <c r="O9" s="281"/>
    </row>
    <row r="10" spans="1:15" ht="27.75" customHeight="1" thickBot="1">
      <c r="A10" s="278"/>
      <c r="B10" s="342"/>
      <c r="D10" s="692" t="s">
        <v>385</v>
      </c>
      <c r="E10" s="692"/>
      <c r="F10" s="692"/>
      <c r="G10" s="692"/>
      <c r="H10" s="692"/>
      <c r="I10" s="692"/>
      <c r="J10" s="692"/>
      <c r="K10" s="692"/>
      <c r="L10" s="692"/>
      <c r="M10" s="692"/>
      <c r="N10" s="692"/>
      <c r="O10" s="281"/>
    </row>
    <row r="11" spans="1:15" ht="27.75" customHeight="1" thickBot="1">
      <c r="A11" s="278"/>
      <c r="B11" s="342" t="s">
        <v>453</v>
      </c>
      <c r="D11" s="294" t="s">
        <v>386</v>
      </c>
      <c r="E11" s="117"/>
      <c r="F11" s="117"/>
      <c r="G11" s="294"/>
      <c r="H11" s="294"/>
      <c r="I11" s="294"/>
      <c r="J11" s="343"/>
      <c r="K11" s="343"/>
      <c r="L11" s="343"/>
      <c r="M11" s="344"/>
      <c r="N11" s="344"/>
      <c r="O11" s="344"/>
    </row>
    <row r="12" spans="1:15" ht="12.75">
      <c r="A12" s="278"/>
      <c r="B12" s="278"/>
      <c r="C12" s="345"/>
      <c r="D12" s="345"/>
      <c r="E12" s="345"/>
      <c r="F12" s="345"/>
      <c r="G12" s="345"/>
      <c r="H12" s="345"/>
      <c r="I12" s="345"/>
      <c r="J12" s="345"/>
      <c r="K12" s="345"/>
      <c r="L12" s="345"/>
      <c r="M12" s="345"/>
      <c r="N12" s="345"/>
      <c r="O12" s="345"/>
    </row>
    <row r="13" spans="2:5" ht="12.75">
      <c r="B13" s="277" t="s">
        <v>437</v>
      </c>
      <c r="C13" s="277"/>
      <c r="D13" s="277"/>
      <c r="E13" s="277"/>
    </row>
    <row r="14" spans="2:14" ht="80.25" customHeight="1">
      <c r="B14" s="656" t="s">
        <v>507</v>
      </c>
      <c r="C14" s="656"/>
      <c r="D14" s="656"/>
      <c r="E14" s="656"/>
      <c r="F14" s="656"/>
      <c r="G14" s="656"/>
      <c r="H14" s="656"/>
      <c r="I14" s="656"/>
      <c r="J14" s="656"/>
      <c r="K14" s="656"/>
      <c r="L14" s="656"/>
      <c r="M14" s="656"/>
      <c r="N14" s="656"/>
    </row>
    <row r="15" spans="2:14" ht="13.5" customHeight="1">
      <c r="B15" s="456"/>
      <c r="C15" s="456"/>
      <c r="D15" s="456"/>
      <c r="E15" s="456"/>
      <c r="F15" s="456"/>
      <c r="G15" s="456"/>
      <c r="H15" s="456"/>
      <c r="I15" s="456"/>
      <c r="J15" s="456"/>
      <c r="K15" s="456"/>
      <c r="L15" s="456"/>
      <c r="M15" s="456"/>
      <c r="N15" s="456"/>
    </row>
    <row r="16" spans="2:13" ht="12.75">
      <c r="B16" s="683" t="s">
        <v>387</v>
      </c>
      <c r="C16" s="683"/>
      <c r="D16" s="683"/>
      <c r="E16" s="683"/>
      <c r="F16" s="676" t="s">
        <v>332</v>
      </c>
      <c r="G16" s="677"/>
      <c r="H16" s="676" t="s">
        <v>333</v>
      </c>
      <c r="I16" s="691"/>
      <c r="J16" s="677"/>
      <c r="K16" s="684" t="s">
        <v>334</v>
      </c>
      <c r="L16" s="685"/>
      <c r="M16" s="686"/>
    </row>
    <row r="17" spans="2:14" ht="12.75">
      <c r="B17" s="666" t="s">
        <v>346</v>
      </c>
      <c r="C17" s="667"/>
      <c r="D17" s="667"/>
      <c r="E17" s="668"/>
      <c r="F17" s="674"/>
      <c r="G17" s="675"/>
      <c r="H17" s="483"/>
      <c r="I17" s="678">
        <v>368.295</v>
      </c>
      <c r="J17" s="675"/>
      <c r="K17" s="346"/>
      <c r="L17" s="678">
        <v>84.57</v>
      </c>
      <c r="M17" s="675"/>
      <c r="N17" s="320"/>
    </row>
    <row r="18" spans="2:14" ht="12.75">
      <c r="B18" s="669" t="s">
        <v>388</v>
      </c>
      <c r="C18" s="670"/>
      <c r="D18" s="670"/>
      <c r="E18" s="671"/>
      <c r="F18" s="307"/>
      <c r="G18" s="308"/>
      <c r="H18" s="293" t="s">
        <v>344</v>
      </c>
      <c r="I18" s="672"/>
      <c r="J18" s="673"/>
      <c r="K18" s="301" t="s">
        <v>344</v>
      </c>
      <c r="L18" s="659"/>
      <c r="M18" s="660"/>
      <c r="N18" s="320"/>
    </row>
    <row r="19" spans="2:13" ht="12.75">
      <c r="B19" s="669" t="s">
        <v>389</v>
      </c>
      <c r="C19" s="670"/>
      <c r="D19" s="670"/>
      <c r="E19" s="671"/>
      <c r="F19" s="307"/>
      <c r="G19" s="308"/>
      <c r="H19" s="293" t="s">
        <v>344</v>
      </c>
      <c r="I19" s="672"/>
      <c r="J19" s="673"/>
      <c r="K19" s="301" t="s">
        <v>344</v>
      </c>
      <c r="L19" s="659"/>
      <c r="M19" s="660"/>
    </row>
    <row r="20" spans="2:13" ht="12.75">
      <c r="B20" s="693" t="s">
        <v>390</v>
      </c>
      <c r="C20" s="694"/>
      <c r="D20" s="694"/>
      <c r="E20" s="695"/>
      <c r="F20" s="104" t="s">
        <v>340</v>
      </c>
      <c r="G20" s="354">
        <f>F17</f>
        <v>0</v>
      </c>
      <c r="H20" s="275" t="s">
        <v>340</v>
      </c>
      <c r="I20" s="687">
        <f>I17+I18+I19</f>
        <v>368.295</v>
      </c>
      <c r="J20" s="688"/>
      <c r="K20" s="104" t="s">
        <v>340</v>
      </c>
      <c r="L20" s="687">
        <f>L17+L18+L19</f>
        <v>84.57</v>
      </c>
      <c r="M20" s="688"/>
    </row>
    <row r="22" spans="2:13" ht="12.75">
      <c r="B22" s="277" t="s">
        <v>438</v>
      </c>
      <c r="C22"/>
      <c r="D22"/>
      <c r="E22"/>
      <c r="F22"/>
      <c r="G22"/>
      <c r="H22"/>
      <c r="I22"/>
      <c r="J22"/>
      <c r="K22"/>
      <c r="L22"/>
      <c r="M22"/>
    </row>
    <row r="23" spans="2:14" ht="26.25" customHeight="1">
      <c r="B23" s="656" t="s">
        <v>443</v>
      </c>
      <c r="C23" s="656"/>
      <c r="D23" s="656"/>
      <c r="E23" s="656"/>
      <c r="F23" s="656"/>
      <c r="G23" s="656"/>
      <c r="H23" s="656"/>
      <c r="I23" s="656"/>
      <c r="J23" s="656"/>
      <c r="K23" s="656"/>
      <c r="L23" s="656"/>
      <c r="M23" s="656"/>
      <c r="N23" s="656"/>
    </row>
    <row r="24" spans="2:13" ht="12.75">
      <c r="B24" s="451"/>
      <c r="C24" s="452"/>
      <c r="D24" s="452"/>
      <c r="E24" s="452"/>
      <c r="F24" s="452"/>
      <c r="G24" s="452"/>
      <c r="H24" s="452"/>
      <c r="I24" s="452"/>
      <c r="J24" s="452"/>
      <c r="K24" s="452"/>
      <c r="L24" s="452"/>
      <c r="M24" s="452"/>
    </row>
    <row r="25" spans="2:13" ht="12.75">
      <c r="B25" s="453" t="s">
        <v>387</v>
      </c>
      <c r="C25" s="453"/>
      <c r="D25" s="453"/>
      <c r="E25" s="453"/>
      <c r="F25" s="676" t="s">
        <v>332</v>
      </c>
      <c r="G25" s="677"/>
      <c r="H25" s="676" t="s">
        <v>333</v>
      </c>
      <c r="I25" s="691"/>
      <c r="J25" s="677"/>
      <c r="K25" s="684" t="s">
        <v>334</v>
      </c>
      <c r="L25" s="685"/>
      <c r="M25" s="686"/>
    </row>
    <row r="26" spans="2:16" ht="12.75">
      <c r="B26" s="275" t="s">
        <v>346</v>
      </c>
      <c r="C26" s="103"/>
      <c r="D26" s="355"/>
      <c r="F26" s="348"/>
      <c r="G26" s="484"/>
      <c r="I26" s="657">
        <v>3654.295</v>
      </c>
      <c r="J26" s="658"/>
      <c r="K26" s="275"/>
      <c r="L26" s="657">
        <v>1035.71</v>
      </c>
      <c r="M26" s="658"/>
      <c r="P26" s="106"/>
    </row>
    <row r="27" spans="2:13" ht="12.75">
      <c r="B27" s="104" t="s">
        <v>388</v>
      </c>
      <c r="C27" s="274"/>
      <c r="D27" s="359"/>
      <c r="E27" s="288"/>
      <c r="F27" s="309"/>
      <c r="G27" s="310"/>
      <c r="H27" s="274" t="s">
        <v>344</v>
      </c>
      <c r="I27" s="672">
        <v>242.925</v>
      </c>
      <c r="J27" s="673"/>
      <c r="K27" s="104" t="s">
        <v>344</v>
      </c>
      <c r="L27" s="659">
        <v>554.15</v>
      </c>
      <c r="M27" s="660"/>
    </row>
    <row r="28" spans="2:13" ht="12.75">
      <c r="B28" s="104" t="s">
        <v>389</v>
      </c>
      <c r="C28" s="274"/>
      <c r="D28" s="274"/>
      <c r="E28" s="289"/>
      <c r="F28" s="309"/>
      <c r="G28" s="310"/>
      <c r="H28" s="274" t="s">
        <v>344</v>
      </c>
      <c r="I28" s="672"/>
      <c r="J28" s="673"/>
      <c r="K28" s="104" t="s">
        <v>344</v>
      </c>
      <c r="L28" s="659"/>
      <c r="M28" s="660"/>
    </row>
    <row r="29" spans="2:13" ht="12.75">
      <c r="B29" s="275" t="s">
        <v>390</v>
      </c>
      <c r="C29" s="103"/>
      <c r="D29" s="355"/>
      <c r="E29" s="275"/>
      <c r="F29" s="275" t="s">
        <v>340</v>
      </c>
      <c r="G29" s="354">
        <f>G26</f>
        <v>0</v>
      </c>
      <c r="H29" s="104" t="s">
        <v>340</v>
      </c>
      <c r="I29" s="687">
        <f>I26+I27+I28</f>
        <v>3897.22</v>
      </c>
      <c r="J29" s="688"/>
      <c r="K29" s="104" t="s">
        <v>340</v>
      </c>
      <c r="L29" s="679">
        <f>L26+L27+L28</f>
        <v>1589.86</v>
      </c>
      <c r="M29" s="680"/>
    </row>
    <row r="30" ht="12.75">
      <c r="B30" s="297"/>
    </row>
    <row r="31" spans="1:11" ht="12.75">
      <c r="A31" s="361"/>
      <c r="B31" s="361"/>
      <c r="C31" s="299"/>
      <c r="D31" s="299"/>
      <c r="E31" s="298"/>
      <c r="F31" s="298"/>
      <c r="G31" s="299"/>
      <c r="H31" s="299"/>
      <c r="I31" s="362"/>
      <c r="K31" s="362"/>
    </row>
    <row r="32" spans="1:15" ht="15" customHeight="1">
      <c r="A32" s="455" t="s">
        <v>415</v>
      </c>
      <c r="C32" s="277"/>
      <c r="D32" s="277"/>
      <c r="E32" s="277"/>
      <c r="G32" s="326"/>
      <c r="H32" s="326"/>
      <c r="I32" s="326"/>
      <c r="J32" s="326"/>
      <c r="K32" s="326"/>
      <c r="L32" s="326"/>
      <c r="M32" s="326"/>
      <c r="N32" s="326"/>
      <c r="O32" s="326"/>
    </row>
    <row r="33" spans="1:15" ht="12.75" customHeight="1">
      <c r="A33" s="455"/>
      <c r="C33" s="277"/>
      <c r="D33" s="277"/>
      <c r="E33" s="277"/>
      <c r="G33" s="326"/>
      <c r="H33" s="326"/>
      <c r="I33" s="326"/>
      <c r="J33" s="326"/>
      <c r="K33" s="326"/>
      <c r="L33" s="326"/>
      <c r="M33" s="326"/>
      <c r="N33" s="326"/>
      <c r="O33" s="326"/>
    </row>
    <row r="34" spans="1:15" ht="12.75" customHeight="1">
      <c r="A34" s="455"/>
      <c r="B34" s="277" t="s">
        <v>349</v>
      </c>
      <c r="C34" s="277"/>
      <c r="D34" s="277"/>
      <c r="E34" s="277"/>
      <c r="G34" s="326"/>
      <c r="H34" s="326"/>
      <c r="I34" s="326"/>
      <c r="J34" s="326"/>
      <c r="K34" s="326"/>
      <c r="L34" s="326"/>
      <c r="M34" s="326"/>
      <c r="N34" s="326"/>
      <c r="O34" s="326"/>
    </row>
    <row r="35" spans="1:15" ht="134.25" customHeight="1">
      <c r="A35" s="277"/>
      <c r="B35" s="654" t="s">
        <v>525</v>
      </c>
      <c r="C35" s="654"/>
      <c r="D35" s="654"/>
      <c r="E35" s="654"/>
      <c r="F35" s="654"/>
      <c r="G35" s="654"/>
      <c r="H35" s="654"/>
      <c r="I35" s="654"/>
      <c r="J35" s="654"/>
      <c r="K35" s="654"/>
      <c r="L35" s="654"/>
      <c r="M35" s="654"/>
      <c r="N35" s="654"/>
      <c r="O35" s="326"/>
    </row>
    <row r="36" spans="1:15" ht="12.75" customHeight="1">
      <c r="A36" s="277"/>
      <c r="B36" s="448"/>
      <c r="C36" s="448"/>
      <c r="D36" s="448"/>
      <c r="E36" s="448"/>
      <c r="F36" s="448"/>
      <c r="G36" s="448"/>
      <c r="H36" s="448"/>
      <c r="I36" s="448"/>
      <c r="J36" s="448"/>
      <c r="K36" s="448"/>
      <c r="L36" s="448"/>
      <c r="M36" s="448"/>
      <c r="N36" s="448"/>
      <c r="O36" s="326"/>
    </row>
    <row r="37" spans="2:21" ht="51.75" customHeight="1">
      <c r="B37" s="457"/>
      <c r="C37" s="458"/>
      <c r="D37" s="458"/>
      <c r="E37" s="458"/>
      <c r="F37" s="295"/>
      <c r="G37" s="295"/>
      <c r="H37" s="295"/>
      <c r="I37" s="397" t="s">
        <v>346</v>
      </c>
      <c r="J37" s="397" t="s">
        <v>347</v>
      </c>
      <c r="K37" s="689" t="s">
        <v>348</v>
      </c>
      <c r="L37" s="690"/>
      <c r="M37" s="323"/>
      <c r="N37" s="295"/>
      <c r="O37" s="323"/>
      <c r="P37" s="323"/>
      <c r="Q37" s="295"/>
      <c r="R37" s="323"/>
      <c r="S37" s="323"/>
      <c r="U37" s="251"/>
    </row>
    <row r="38" spans="1:19" ht="12.75">
      <c r="A38" s="282"/>
      <c r="B38" s="282">
        <v>1</v>
      </c>
      <c r="C38" s="296" t="s">
        <v>350</v>
      </c>
      <c r="D38" s="295"/>
      <c r="E38" s="295"/>
      <c r="F38" s="295"/>
      <c r="G38" s="295"/>
      <c r="H38" s="295"/>
      <c r="I38" s="434">
        <v>152.61</v>
      </c>
      <c r="J38" s="433"/>
      <c r="K38" s="661"/>
      <c r="L38" s="662"/>
      <c r="M38" s="432"/>
      <c r="N38" s="327"/>
      <c r="O38" s="364"/>
      <c r="P38" s="432"/>
      <c r="Q38" s="295"/>
      <c r="R38" s="364"/>
      <c r="S38" s="432"/>
    </row>
    <row r="39" spans="1:19" ht="12.75">
      <c r="A39" s="282"/>
      <c r="B39" s="282">
        <v>2</v>
      </c>
      <c r="C39" s="296" t="s">
        <v>351</v>
      </c>
      <c r="D39" s="295"/>
      <c r="E39" s="295"/>
      <c r="F39" s="295"/>
      <c r="G39" s="295"/>
      <c r="H39" s="295"/>
      <c r="I39" s="434">
        <v>152.61</v>
      </c>
      <c r="J39" s="433"/>
      <c r="K39" s="661"/>
      <c r="L39" s="662"/>
      <c r="M39" s="432"/>
      <c r="N39" s="327"/>
      <c r="O39" s="364"/>
      <c r="P39" s="432"/>
      <c r="Q39" s="295"/>
      <c r="R39" s="364"/>
      <c r="S39" s="432"/>
    </row>
    <row r="40" spans="1:19" ht="12.75">
      <c r="A40" s="282"/>
      <c r="B40" s="282">
        <v>3</v>
      </c>
      <c r="C40" s="296" t="s">
        <v>352</v>
      </c>
      <c r="D40" s="295"/>
      <c r="E40" s="295"/>
      <c r="F40" s="295"/>
      <c r="G40" s="295"/>
      <c r="H40" s="295"/>
      <c r="I40" s="434">
        <v>38</v>
      </c>
      <c r="J40" s="433"/>
      <c r="K40" s="661"/>
      <c r="L40" s="662"/>
      <c r="M40" s="432"/>
      <c r="N40" s="327"/>
      <c r="O40" s="364"/>
      <c r="P40" s="432"/>
      <c r="Q40" s="295"/>
      <c r="R40" s="364"/>
      <c r="S40" s="432"/>
    </row>
    <row r="41" spans="1:19" ht="12.75">
      <c r="A41" s="282"/>
      <c r="B41" s="282">
        <v>4</v>
      </c>
      <c r="C41" s="296" t="s">
        <v>353</v>
      </c>
      <c r="D41" s="295"/>
      <c r="E41" s="295"/>
      <c r="F41" s="295"/>
      <c r="G41" s="295"/>
      <c r="H41" s="295"/>
      <c r="I41" s="434"/>
      <c r="J41" s="433"/>
      <c r="K41" s="661"/>
      <c r="L41" s="662"/>
      <c r="M41" s="432"/>
      <c r="N41" s="327"/>
      <c r="O41" s="364"/>
      <c r="P41" s="432"/>
      <c r="Q41" s="295"/>
      <c r="R41" s="364"/>
      <c r="S41" s="432"/>
    </row>
    <row r="42" spans="1:19" ht="12.75">
      <c r="A42" s="282"/>
      <c r="B42" s="282">
        <v>5</v>
      </c>
      <c r="C42" s="296" t="s">
        <v>478</v>
      </c>
      <c r="D42" s="295"/>
      <c r="E42" s="295"/>
      <c r="F42" s="295"/>
      <c r="G42" s="295"/>
      <c r="H42" s="295"/>
      <c r="I42" s="434">
        <v>1</v>
      </c>
      <c r="J42" s="433"/>
      <c r="K42" s="661"/>
      <c r="L42" s="662"/>
      <c r="M42" s="432"/>
      <c r="N42" s="327"/>
      <c r="O42" s="364"/>
      <c r="P42" s="432"/>
      <c r="Q42" s="295"/>
      <c r="R42" s="364"/>
      <c r="S42" s="432"/>
    </row>
    <row r="43" spans="1:19" ht="12.75">
      <c r="A43" s="282"/>
      <c r="B43" s="282">
        <v>6</v>
      </c>
      <c r="C43" s="296" t="s">
        <v>479</v>
      </c>
      <c r="D43" s="295"/>
      <c r="E43" s="295"/>
      <c r="F43" s="295"/>
      <c r="G43" s="295"/>
      <c r="H43" s="295"/>
      <c r="I43" s="434"/>
      <c r="J43" s="433"/>
      <c r="K43" s="661"/>
      <c r="L43" s="662"/>
      <c r="M43" s="432"/>
      <c r="N43" s="327"/>
      <c r="O43" s="364"/>
      <c r="P43" s="432"/>
      <c r="Q43" s="295"/>
      <c r="R43" s="364"/>
      <c r="S43" s="432"/>
    </row>
    <row r="44" spans="1:19" ht="12.75">
      <c r="A44" s="282"/>
      <c r="B44" s="282">
        <v>7</v>
      </c>
      <c r="C44" s="296" t="s">
        <v>354</v>
      </c>
      <c r="D44" s="295"/>
      <c r="E44" s="295"/>
      <c r="F44" s="295"/>
      <c r="G44" s="295"/>
      <c r="H44" s="295"/>
      <c r="I44" s="434"/>
      <c r="J44" s="433"/>
      <c r="K44" s="661"/>
      <c r="L44" s="662"/>
      <c r="M44" s="432"/>
      <c r="N44" s="327"/>
      <c r="O44" s="364"/>
      <c r="P44" s="432"/>
      <c r="Q44" s="295"/>
      <c r="R44" s="364"/>
      <c r="S44" s="432"/>
    </row>
    <row r="45" spans="1:19" ht="12.75">
      <c r="A45" s="282"/>
      <c r="B45" s="282">
        <v>8</v>
      </c>
      <c r="C45" s="296" t="s">
        <v>355</v>
      </c>
      <c r="D45" s="295"/>
      <c r="E45" s="295"/>
      <c r="F45" s="295"/>
      <c r="G45" s="295"/>
      <c r="H45" s="295"/>
      <c r="I45" s="434"/>
      <c r="J45" s="433"/>
      <c r="K45" s="661"/>
      <c r="L45" s="662"/>
      <c r="M45" s="432"/>
      <c r="N45" s="327"/>
      <c r="O45" s="364"/>
      <c r="P45" s="432"/>
      <c r="Q45" s="295"/>
      <c r="R45" s="364"/>
      <c r="S45" s="432"/>
    </row>
    <row r="46" spans="1:19" ht="12.75">
      <c r="A46" s="282"/>
      <c r="B46" s="282">
        <v>9</v>
      </c>
      <c r="C46" s="296" t="s">
        <v>356</v>
      </c>
      <c r="D46" s="295"/>
      <c r="E46" s="295"/>
      <c r="F46" s="295"/>
      <c r="G46" s="295"/>
      <c r="H46" s="295"/>
      <c r="I46" s="434"/>
      <c r="J46" s="433"/>
      <c r="K46" s="661"/>
      <c r="L46" s="662"/>
      <c r="M46" s="432"/>
      <c r="N46" s="327"/>
      <c r="O46" s="364"/>
      <c r="P46" s="432"/>
      <c r="Q46" s="295"/>
      <c r="R46" s="364"/>
      <c r="S46" s="432"/>
    </row>
    <row r="47" spans="1:19" ht="12.75">
      <c r="A47" s="282"/>
      <c r="B47" s="282">
        <v>10</v>
      </c>
      <c r="C47" s="296" t="s">
        <v>357</v>
      </c>
      <c r="D47" s="295"/>
      <c r="E47" s="295"/>
      <c r="F47" s="295"/>
      <c r="G47" s="295"/>
      <c r="H47" s="295"/>
      <c r="I47" s="434"/>
      <c r="J47" s="436"/>
      <c r="K47" s="663"/>
      <c r="L47" s="664"/>
      <c r="M47" s="432"/>
      <c r="N47" s="327"/>
      <c r="O47" s="364"/>
      <c r="P47" s="432"/>
      <c r="Q47" s="295"/>
      <c r="R47" s="364"/>
      <c r="S47" s="432"/>
    </row>
    <row r="48" spans="1:19" ht="12.75">
      <c r="A48" s="282"/>
      <c r="B48" s="282">
        <v>11</v>
      </c>
      <c r="C48" s="296" t="s">
        <v>480</v>
      </c>
      <c r="D48" s="295"/>
      <c r="E48" s="295"/>
      <c r="F48" s="295"/>
      <c r="G48" s="295"/>
      <c r="H48" s="295"/>
      <c r="I48" s="434">
        <v>56</v>
      </c>
      <c r="J48" s="433"/>
      <c r="K48" s="661"/>
      <c r="L48" s="662"/>
      <c r="M48" s="432"/>
      <c r="N48" s="327"/>
      <c r="O48" s="364"/>
      <c r="P48" s="432"/>
      <c r="Q48" s="295"/>
      <c r="R48" s="364"/>
      <c r="S48" s="432"/>
    </row>
    <row r="49" spans="1:19" ht="12.75">
      <c r="A49" s="282"/>
      <c r="B49" s="282">
        <v>12</v>
      </c>
      <c r="C49" s="296" t="s">
        <v>358</v>
      </c>
      <c r="D49" s="295"/>
      <c r="E49" s="295"/>
      <c r="F49" s="295"/>
      <c r="G49" s="295"/>
      <c r="H49" s="295"/>
      <c r="I49" s="434"/>
      <c r="J49" s="433"/>
      <c r="K49" s="661"/>
      <c r="L49" s="662"/>
      <c r="M49" s="432"/>
      <c r="N49" s="327"/>
      <c r="O49" s="364"/>
      <c r="P49" s="432"/>
      <c r="Q49" s="295"/>
      <c r="R49" s="364"/>
      <c r="S49" s="432"/>
    </row>
    <row r="50" spans="1:19" ht="12.75">
      <c r="A50" s="282"/>
      <c r="B50" s="282">
        <v>13</v>
      </c>
      <c r="C50" s="296" t="s">
        <v>359</v>
      </c>
      <c r="D50" s="295"/>
      <c r="E50" s="295"/>
      <c r="F50" s="295"/>
      <c r="G50" s="295"/>
      <c r="H50" s="295"/>
      <c r="I50" s="434"/>
      <c r="J50" s="433"/>
      <c r="K50" s="661"/>
      <c r="L50" s="662"/>
      <c r="M50" s="432"/>
      <c r="N50" s="327"/>
      <c r="O50" s="364"/>
      <c r="P50" s="432"/>
      <c r="Q50" s="295"/>
      <c r="R50" s="364"/>
      <c r="S50" s="432"/>
    </row>
    <row r="51" spans="1:19" ht="12.75">
      <c r="A51" s="282"/>
      <c r="B51" s="282">
        <v>14</v>
      </c>
      <c r="C51" s="296" t="s">
        <v>360</v>
      </c>
      <c r="D51" s="295"/>
      <c r="E51" s="295"/>
      <c r="F51" s="295"/>
      <c r="G51" s="295"/>
      <c r="H51" s="295"/>
      <c r="I51" s="434"/>
      <c r="J51" s="433"/>
      <c r="K51" s="661"/>
      <c r="L51" s="662"/>
      <c r="M51" s="432"/>
      <c r="N51" s="327"/>
      <c r="O51" s="364"/>
      <c r="P51" s="432"/>
      <c r="Q51" s="295"/>
      <c r="R51" s="364"/>
      <c r="S51" s="432"/>
    </row>
    <row r="52" spans="1:19" ht="12.75">
      <c r="A52" s="282"/>
      <c r="B52" s="282">
        <v>15</v>
      </c>
      <c r="C52" s="295" t="s">
        <v>440</v>
      </c>
      <c r="D52" s="295"/>
      <c r="E52" s="295"/>
      <c r="F52" s="295"/>
      <c r="G52" s="295"/>
      <c r="H52" s="295"/>
      <c r="I52" s="435">
        <f>SUM(I38:I51)</f>
        <v>400.22</v>
      </c>
      <c r="J52" s="427">
        <f>SUM(J38:J51)</f>
        <v>0</v>
      </c>
      <c r="K52" s="681">
        <f>SUM(K38:K51)</f>
        <v>0</v>
      </c>
      <c r="L52" s="682"/>
      <c r="M52" s="432"/>
      <c r="N52" s="327"/>
      <c r="O52" s="327"/>
      <c r="P52" s="432"/>
      <c r="Q52" s="295"/>
      <c r="R52" s="432"/>
      <c r="S52" s="432"/>
    </row>
    <row r="53" spans="1:19" ht="12.75">
      <c r="A53" s="282"/>
      <c r="B53" s="282" t="s">
        <v>471</v>
      </c>
      <c r="C53" s="295"/>
      <c r="D53" s="295"/>
      <c r="E53" s="295"/>
      <c r="F53" s="295"/>
      <c r="G53" s="295"/>
      <c r="H53" s="295"/>
      <c r="I53" s="497"/>
      <c r="J53" s="498"/>
      <c r="K53" s="499"/>
      <c r="L53" s="499"/>
      <c r="M53" s="432"/>
      <c r="N53" s="327"/>
      <c r="O53" s="327"/>
      <c r="P53" s="432"/>
      <c r="Q53" s="295"/>
      <c r="R53" s="432"/>
      <c r="S53" s="432"/>
    </row>
    <row r="54" spans="1:19" ht="14.25" customHeight="1">
      <c r="A54" s="282"/>
      <c r="B54" s="500" t="s">
        <v>475</v>
      </c>
      <c r="C54" s="296" t="s">
        <v>472</v>
      </c>
      <c r="D54" s="296"/>
      <c r="E54" s="296"/>
      <c r="F54" s="296"/>
      <c r="G54" s="296"/>
      <c r="H54" s="296"/>
      <c r="I54" s="501"/>
      <c r="J54" s="502"/>
      <c r="K54" s="503"/>
      <c r="L54" s="503"/>
      <c r="M54" s="504"/>
      <c r="N54" s="505"/>
      <c r="O54" s="327"/>
      <c r="P54" s="432"/>
      <c r="Q54" s="295"/>
      <c r="R54" s="432"/>
      <c r="S54" s="432"/>
    </row>
    <row r="55" spans="1:19" ht="14.25" customHeight="1">
      <c r="A55" s="282"/>
      <c r="B55" s="500" t="s">
        <v>476</v>
      </c>
      <c r="C55" s="296" t="s">
        <v>473</v>
      </c>
      <c r="D55" s="296"/>
      <c r="E55" s="296"/>
      <c r="F55" s="296"/>
      <c r="G55" s="296"/>
      <c r="H55" s="296"/>
      <c r="I55" s="501"/>
      <c r="J55" s="502"/>
      <c r="K55" s="503"/>
      <c r="L55" s="503"/>
      <c r="M55" s="504"/>
      <c r="N55" s="505"/>
      <c r="O55" s="327"/>
      <c r="P55" s="432"/>
      <c r="Q55" s="295"/>
      <c r="R55" s="432"/>
      <c r="S55" s="432"/>
    </row>
    <row r="56" spans="1:19" ht="12.75">
      <c r="A56" s="282"/>
      <c r="B56" s="500" t="s">
        <v>477</v>
      </c>
      <c r="C56" s="665" t="s">
        <v>474</v>
      </c>
      <c r="D56" s="665"/>
      <c r="E56" s="665"/>
      <c r="F56" s="665"/>
      <c r="G56" s="665"/>
      <c r="H56" s="665"/>
      <c r="I56" s="665"/>
      <c r="J56" s="665"/>
      <c r="K56" s="665"/>
      <c r="L56" s="665"/>
      <c r="M56" s="665"/>
      <c r="N56" s="665"/>
      <c r="O56" s="327"/>
      <c r="P56" s="432"/>
      <c r="Q56" s="295"/>
      <c r="R56" s="432"/>
      <c r="S56" s="432"/>
    </row>
    <row r="57" spans="1:19" ht="12.75">
      <c r="A57" s="282"/>
      <c r="B57" s="506"/>
      <c r="C57" s="665"/>
      <c r="D57" s="665"/>
      <c r="E57" s="665"/>
      <c r="F57" s="665"/>
      <c r="G57" s="665"/>
      <c r="H57" s="665"/>
      <c r="I57" s="665"/>
      <c r="J57" s="665"/>
      <c r="K57" s="665"/>
      <c r="L57" s="665"/>
      <c r="M57" s="665"/>
      <c r="N57" s="665"/>
      <c r="O57" s="327"/>
      <c r="P57" s="432"/>
      <c r="Q57" s="295"/>
      <c r="R57" s="432"/>
      <c r="S57" s="432"/>
    </row>
    <row r="59" spans="1:6" ht="15">
      <c r="A59" s="455" t="s">
        <v>416</v>
      </c>
      <c r="C59" s="277"/>
      <c r="D59" s="277"/>
      <c r="E59" s="277"/>
      <c r="F59" s="277"/>
    </row>
    <row r="60" ht="13.5" thickBot="1"/>
    <row r="61" spans="2:16" ht="13.5" thickBot="1">
      <c r="B61" s="324">
        <v>1</v>
      </c>
      <c r="C61" s="365"/>
      <c r="D61" s="593" t="s">
        <v>451</v>
      </c>
      <c r="E61" s="594"/>
      <c r="F61" s="594"/>
      <c r="G61" s="594"/>
      <c r="H61" s="594"/>
      <c r="I61" s="594"/>
      <c r="J61" s="594"/>
      <c r="K61" s="594"/>
      <c r="L61" s="594"/>
      <c r="M61" s="260"/>
      <c r="N61" s="467"/>
      <c r="O61" s="366"/>
      <c r="P61" s="366"/>
    </row>
    <row r="62" spans="2:14" ht="72" customHeight="1">
      <c r="B62" s="324"/>
      <c r="C62" s="656" t="s">
        <v>508</v>
      </c>
      <c r="D62" s="656"/>
      <c r="E62" s="656"/>
      <c r="F62" s="656"/>
      <c r="G62" s="656"/>
      <c r="H62" s="656"/>
      <c r="I62" s="656"/>
      <c r="J62" s="656"/>
      <c r="M62" s="260"/>
      <c r="N62" s="467"/>
    </row>
    <row r="63" spans="2:14" ht="12.75">
      <c r="B63" s="324"/>
      <c r="C63" s="253"/>
      <c r="D63" s="253"/>
      <c r="E63" s="253"/>
      <c r="F63" s="253"/>
      <c r="G63" s="253"/>
      <c r="H63" s="253"/>
      <c r="M63" s="260"/>
      <c r="N63" s="467"/>
    </row>
    <row r="64" spans="2:14" ht="12.75">
      <c r="B64" s="324">
        <v>2</v>
      </c>
      <c r="C64" t="s">
        <v>395</v>
      </c>
      <c r="D64"/>
      <c r="E64"/>
      <c r="F64"/>
      <c r="G64"/>
      <c r="H64"/>
      <c r="M64" s="260" t="s">
        <v>4</v>
      </c>
      <c r="N64" s="394"/>
    </row>
    <row r="65" spans="2:14" ht="138" customHeight="1">
      <c r="B65" s="324"/>
      <c r="C65" s="656" t="s">
        <v>449</v>
      </c>
      <c r="D65" s="656"/>
      <c r="E65" s="656"/>
      <c r="F65" s="656"/>
      <c r="G65" s="656"/>
      <c r="H65" s="656"/>
      <c r="I65" s="656"/>
      <c r="J65" s="656"/>
      <c r="M65" s="260"/>
      <c r="N65" s="467"/>
    </row>
    <row r="66" spans="2:14" ht="165" customHeight="1">
      <c r="B66" s="324"/>
      <c r="C66" s="656" t="s">
        <v>452</v>
      </c>
      <c r="D66" s="656"/>
      <c r="E66" s="656"/>
      <c r="F66" s="656"/>
      <c r="G66" s="656"/>
      <c r="H66" s="656"/>
      <c r="I66" s="656"/>
      <c r="J66" s="656"/>
      <c r="K66" s="456"/>
      <c r="L66" s="456"/>
      <c r="M66" s="260"/>
      <c r="N66" s="467"/>
    </row>
    <row r="67" spans="2:14" ht="12.75">
      <c r="B67" s="324"/>
      <c r="C67" s="253"/>
      <c r="D67" s="253"/>
      <c r="E67" s="253"/>
      <c r="F67" s="253"/>
      <c r="G67" s="253"/>
      <c r="H67" s="253"/>
      <c r="M67" s="260"/>
      <c r="N67" s="467"/>
    </row>
    <row r="68" spans="2:14" ht="12.75">
      <c r="B68" s="324">
        <v>3</v>
      </c>
      <c r="C68" s="84" t="s">
        <v>509</v>
      </c>
      <c r="D68"/>
      <c r="E68"/>
      <c r="F68"/>
      <c r="M68" s="260" t="s">
        <v>4</v>
      </c>
      <c r="N68" s="394">
        <v>3500</v>
      </c>
    </row>
    <row r="69" spans="2:14" ht="92.25" customHeight="1">
      <c r="B69" s="324"/>
      <c r="C69" s="656" t="s">
        <v>510</v>
      </c>
      <c r="D69" s="656"/>
      <c r="E69" s="656"/>
      <c r="F69" s="656"/>
      <c r="G69" s="656"/>
      <c r="H69" s="656"/>
      <c r="I69" s="656"/>
      <c r="J69" s="656"/>
      <c r="M69" s="260"/>
      <c r="N69" s="467"/>
    </row>
    <row r="70" spans="2:14" ht="12.75">
      <c r="B70" s="324"/>
      <c r="C70" s="253"/>
      <c r="D70" s="253"/>
      <c r="E70" s="253"/>
      <c r="F70" s="253"/>
      <c r="M70" s="260"/>
      <c r="N70" s="467"/>
    </row>
    <row r="71" spans="2:14" ht="12.75">
      <c r="B71" s="325">
        <v>4</v>
      </c>
      <c r="C71" s="84" t="s">
        <v>511</v>
      </c>
      <c r="D71"/>
      <c r="E71"/>
      <c r="M71" s="260" t="s">
        <v>4</v>
      </c>
      <c r="N71" s="394"/>
    </row>
    <row r="72" spans="3:10" ht="53.25" customHeight="1">
      <c r="C72" s="654" t="s">
        <v>512</v>
      </c>
      <c r="D72" s="654"/>
      <c r="E72" s="654"/>
      <c r="F72" s="654"/>
      <c r="G72" s="654"/>
      <c r="H72" s="654"/>
      <c r="I72" s="654"/>
      <c r="J72" s="654"/>
    </row>
    <row r="73" spans="3:10" ht="12.75">
      <c r="C73" s="281"/>
      <c r="D73" s="281"/>
      <c r="E73" s="281"/>
      <c r="F73" s="281"/>
      <c r="G73" s="281"/>
      <c r="H73" s="281"/>
      <c r="I73" s="281"/>
      <c r="J73" s="281"/>
    </row>
    <row r="74" spans="1:5" ht="15">
      <c r="A74" s="455" t="s">
        <v>417</v>
      </c>
      <c r="C74" s="277"/>
      <c r="D74" s="277"/>
      <c r="E74" s="277"/>
    </row>
    <row r="76" spans="2:14" ht="12.75">
      <c r="B76" s="324">
        <v>1</v>
      </c>
      <c r="C76" t="s">
        <v>442</v>
      </c>
      <c r="D76"/>
      <c r="E76"/>
      <c r="F76"/>
      <c r="G76"/>
      <c r="M76" s="344"/>
      <c r="N76" s="485">
        <v>0.0004</v>
      </c>
    </row>
    <row r="77" spans="3:10" ht="57" customHeight="1">
      <c r="C77" s="654" t="s">
        <v>456</v>
      </c>
      <c r="D77" s="654"/>
      <c r="E77" s="654"/>
      <c r="F77" s="654"/>
      <c r="G77" s="654"/>
      <c r="H77" s="654"/>
      <c r="I77" s="654"/>
      <c r="J77" s="654"/>
    </row>
    <row r="78" spans="3:10" ht="12.75">
      <c r="C78" s="459"/>
      <c r="D78" s="459"/>
      <c r="E78" s="459"/>
      <c r="F78" s="459"/>
      <c r="G78" s="459"/>
      <c r="H78" s="459"/>
      <c r="I78" s="459"/>
      <c r="J78" s="459"/>
    </row>
  </sheetData>
  <sheetProtection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79">
      <selection activeCell="R33" sqref="R33"/>
    </sheetView>
  </sheetViews>
  <sheetFormatPr defaultColWidth="11.140625" defaultRowHeight="12.75"/>
  <cols>
    <col min="1" max="1" width="3.421875" style="273" customWidth="1"/>
    <col min="2" max="2" width="2.421875" style="273" customWidth="1"/>
    <col min="3" max="3" width="3.8515625" style="273" customWidth="1"/>
    <col min="4" max="4" width="4.28125" style="273" customWidth="1"/>
    <col min="5" max="5" width="7.7109375" style="273" customWidth="1"/>
    <col min="6" max="7" width="11.140625" style="273" customWidth="1"/>
    <col min="8" max="8" width="11.7109375" style="273" customWidth="1"/>
    <col min="9" max="9" width="11.57421875" style="273" customWidth="1"/>
    <col min="10" max="10" width="12.7109375" style="273" customWidth="1"/>
    <col min="11" max="11" width="2.7109375" style="273" customWidth="1"/>
    <col min="12" max="12" width="14.00390625" style="273" customWidth="1"/>
    <col min="13" max="13" width="1.57421875" style="273" customWidth="1"/>
    <col min="14" max="14" width="14.00390625" style="273" bestFit="1" customWidth="1"/>
    <col min="15" max="15" width="11.140625" style="273" customWidth="1"/>
    <col min="16" max="16" width="7.57421875" style="273" customWidth="1"/>
    <col min="17" max="18" width="11.140625" style="273" customWidth="1"/>
    <col min="19" max="19" width="7.28125" style="273" customWidth="1"/>
    <col min="20" max="22" width="11.140625" style="273" customWidth="1"/>
    <col min="23" max="23" width="7.28125" style="273" customWidth="1"/>
    <col min="24" max="26" width="11.140625" style="273" customWidth="1"/>
    <col min="27" max="27" width="7.28125" style="273" customWidth="1"/>
    <col min="28" max="16384" width="11.140625" style="273" customWidth="1"/>
  </cols>
  <sheetData>
    <row r="1" spans="1:15" ht="15.75" customHeight="1">
      <c r="A1" s="698" t="s">
        <v>457</v>
      </c>
      <c r="B1" s="698"/>
      <c r="C1" s="698"/>
      <c r="D1" s="698"/>
      <c r="E1" s="699" t="str">
        <f>Cover!D1</f>
        <v>Edkey, Inc.</v>
      </c>
      <c r="F1" s="700"/>
      <c r="G1" s="700"/>
      <c r="H1" s="313" t="s">
        <v>331</v>
      </c>
      <c r="I1" s="477" t="str">
        <f>Cover!M1</f>
        <v>Yavapia</v>
      </c>
      <c r="J1" s="698" t="s">
        <v>190</v>
      </c>
      <c r="K1" s="698"/>
      <c r="L1" s="705" t="str">
        <f>Cover!R1</f>
        <v>138754000</v>
      </c>
      <c r="M1" s="706"/>
      <c r="N1" s="313"/>
      <c r="O1" s="315"/>
    </row>
    <row r="2" spans="1:15" ht="15.75" customHeight="1">
      <c r="A2" s="313"/>
      <c r="B2" s="313"/>
      <c r="C2" s="313"/>
      <c r="D2" s="313"/>
      <c r="E2" s="403"/>
      <c r="F2" s="403"/>
      <c r="G2" s="403"/>
      <c r="H2" s="313"/>
      <c r="I2" s="403"/>
      <c r="J2" s="313"/>
      <c r="K2" s="313"/>
      <c r="L2" s="315"/>
      <c r="M2" s="315"/>
      <c r="N2" s="313"/>
      <c r="O2" s="315"/>
    </row>
    <row r="3" spans="1:15" ht="15.75" customHeight="1">
      <c r="A3" s="313"/>
      <c r="B3" s="313"/>
      <c r="C3" s="313"/>
      <c r="D3" s="313"/>
      <c r="E3" s="403"/>
      <c r="F3" s="403"/>
      <c r="G3" s="403"/>
      <c r="H3" s="313"/>
      <c r="I3" s="403"/>
      <c r="J3" s="313"/>
      <c r="K3" s="313"/>
      <c r="L3" s="315"/>
      <c r="M3" s="315"/>
      <c r="N3" s="313"/>
      <c r="O3" s="315"/>
    </row>
    <row r="4" spans="1:15" ht="15.75" customHeight="1">
      <c r="A4" s="313"/>
      <c r="B4" s="313"/>
      <c r="C4" s="313"/>
      <c r="D4" s="313"/>
      <c r="E4" s="403"/>
      <c r="F4" s="403"/>
      <c r="G4" s="403"/>
      <c r="H4" s="313"/>
      <c r="I4" s="403"/>
      <c r="J4" s="313"/>
      <c r="K4" s="313"/>
      <c r="L4" s="315"/>
      <c r="M4" s="315"/>
      <c r="N4" s="313"/>
      <c r="O4" s="315"/>
    </row>
    <row r="5" spans="1:15" ht="15.75" customHeight="1">
      <c r="A5" s="279" t="s">
        <v>461</v>
      </c>
      <c r="B5" s="313"/>
      <c r="C5" s="106"/>
      <c r="D5" s="106"/>
      <c r="E5" s="106"/>
      <c r="F5" s="106"/>
      <c r="G5" s="106"/>
      <c r="H5" s="106"/>
      <c r="I5" s="403"/>
      <c r="J5" s="313"/>
      <c r="K5" s="313"/>
      <c r="L5" s="315"/>
      <c r="M5" s="315"/>
      <c r="N5" s="313"/>
      <c r="O5" s="315"/>
    </row>
    <row r="6" spans="1:15" ht="15.75" customHeight="1">
      <c r="A6" s="279"/>
      <c r="B6" s="313"/>
      <c r="C6" s="445" t="s">
        <v>396</v>
      </c>
      <c r="D6" s="460"/>
      <c r="E6" s="460"/>
      <c r="F6" s="460"/>
      <c r="G6" s="460"/>
      <c r="H6" s="460"/>
      <c r="I6" s="464"/>
      <c r="J6" s="465"/>
      <c r="K6" s="465"/>
      <c r="L6" s="466"/>
      <c r="M6" s="466"/>
      <c r="N6" s="465"/>
      <c r="O6" s="315"/>
    </row>
    <row r="7" spans="1:15" ht="15.75" customHeight="1" thickBot="1">
      <c r="A7" s="313"/>
      <c r="B7" s="313"/>
      <c r="C7" s="410" t="s">
        <v>436</v>
      </c>
      <c r="D7" s="410"/>
      <c r="E7" s="407"/>
      <c r="F7" s="407"/>
      <c r="G7" s="407"/>
      <c r="H7" s="407"/>
      <c r="I7" s="411"/>
      <c r="J7" s="412"/>
      <c r="K7" s="418"/>
      <c r="L7" s="476" t="s">
        <v>333</v>
      </c>
      <c r="M7" s="413"/>
      <c r="N7" s="414" t="s">
        <v>334</v>
      </c>
      <c r="O7" s="315"/>
    </row>
    <row r="8" spans="1:15" ht="15.75" customHeight="1" thickTop="1">
      <c r="A8" s="313"/>
      <c r="B8" s="313"/>
      <c r="C8" s="348" t="s">
        <v>391</v>
      </c>
      <c r="D8" s="84"/>
      <c r="E8" s="84"/>
      <c r="F8" s="291"/>
      <c r="G8" s="291"/>
      <c r="H8" s="291"/>
      <c r="I8" s="403"/>
      <c r="J8" s="313"/>
      <c r="K8" s="417"/>
      <c r="L8" s="84"/>
      <c r="M8" s="348"/>
      <c r="N8" s="416"/>
      <c r="O8" s="315"/>
    </row>
    <row r="9" spans="1:15" ht="15.75" customHeight="1" thickBot="1">
      <c r="A9" s="313"/>
      <c r="B9" s="313"/>
      <c r="C9" s="363"/>
      <c r="D9" s="305" t="s">
        <v>335</v>
      </c>
      <c r="E9" s="305"/>
      <c r="F9" s="305"/>
      <c r="G9" s="305"/>
      <c r="H9" s="305"/>
      <c r="I9" s="408"/>
      <c r="J9" s="409"/>
      <c r="K9" s="415"/>
      <c r="L9" s="469">
        <v>1.399</v>
      </c>
      <c r="M9" s="304"/>
      <c r="N9" s="351">
        <v>1.559</v>
      </c>
      <c r="O9" s="315"/>
    </row>
    <row r="10" spans="1:15" ht="15.75" customHeight="1" thickTop="1">
      <c r="A10" s="313"/>
      <c r="B10" s="313"/>
      <c r="C10" s="347" t="s">
        <v>336</v>
      </c>
      <c r="D10" s="84"/>
      <c r="E10" s="84"/>
      <c r="F10" s="283"/>
      <c r="G10" s="283"/>
      <c r="H10" s="283"/>
      <c r="I10" s="403"/>
      <c r="J10" s="313"/>
      <c r="K10" s="292"/>
      <c r="L10" s="106"/>
      <c r="M10" s="348"/>
      <c r="N10" s="350"/>
      <c r="O10" s="315"/>
    </row>
    <row r="11" spans="1:15" ht="15.75" customHeight="1">
      <c r="A11" s="313"/>
      <c r="B11" s="313"/>
      <c r="C11" s="348"/>
      <c r="D11" s="84" t="s">
        <v>337</v>
      </c>
      <c r="E11" s="84"/>
      <c r="F11" s="84"/>
      <c r="G11" s="84"/>
      <c r="H11" s="84"/>
      <c r="I11" s="403"/>
      <c r="J11" s="313"/>
      <c r="K11" s="275"/>
      <c r="L11" s="474">
        <v>500</v>
      </c>
      <c r="M11" s="352"/>
      <c r="N11" s="404">
        <v>500</v>
      </c>
      <c r="O11" s="315"/>
    </row>
    <row r="12" spans="1:15" ht="15.75" customHeight="1">
      <c r="A12" s="313"/>
      <c r="B12" s="313"/>
      <c r="C12" s="348"/>
      <c r="D12" s="84" t="s">
        <v>367</v>
      </c>
      <c r="E12" s="84"/>
      <c r="F12" s="84"/>
      <c r="G12" s="84"/>
      <c r="H12" s="84"/>
      <c r="I12" s="403"/>
      <c r="J12" s="313"/>
      <c r="K12" s="275" t="s">
        <v>338</v>
      </c>
      <c r="L12" s="470">
        <f>IF('Data Entry'!I20&gt;99.999,IF('Data Entry'!I20&lt;500,'Data Entry'!I20,0),0)</f>
        <v>368.295</v>
      </c>
      <c r="M12" s="275" t="s">
        <v>338</v>
      </c>
      <c r="N12" s="355">
        <f>IF('Data Entry'!L20&gt;99.999,IF('Data Entry'!L20&lt;500,'Data Entry'!L20,0),0)</f>
        <v>0</v>
      </c>
      <c r="O12" s="315"/>
    </row>
    <row r="13" spans="1:15" ht="15.75" customHeight="1">
      <c r="A13" s="313"/>
      <c r="B13" s="313"/>
      <c r="C13" s="348"/>
      <c r="D13" s="84" t="s">
        <v>339</v>
      </c>
      <c r="E13" s="84"/>
      <c r="F13" s="84"/>
      <c r="G13" s="84"/>
      <c r="H13" s="84"/>
      <c r="I13" s="403"/>
      <c r="J13" s="313"/>
      <c r="K13" s="104" t="s">
        <v>340</v>
      </c>
      <c r="L13" s="473">
        <f>IF(L12&gt;0,ROUND(+L11-L12,3),0)</f>
        <v>131.705</v>
      </c>
      <c r="M13" s="302" t="s">
        <v>340</v>
      </c>
      <c r="N13" s="356">
        <f>IF(N12&gt;0,ROUND(+N11-N12,3),0)</f>
        <v>0</v>
      </c>
      <c r="O13" s="315"/>
    </row>
    <row r="14" spans="1:15" ht="15.75" customHeight="1">
      <c r="A14" s="313"/>
      <c r="B14" s="313"/>
      <c r="C14" s="348"/>
      <c r="D14" s="84" t="s">
        <v>341</v>
      </c>
      <c r="E14" s="84"/>
      <c r="F14" s="84"/>
      <c r="G14" s="84"/>
      <c r="H14" s="84"/>
      <c r="I14" s="403"/>
      <c r="J14" s="313"/>
      <c r="K14" s="104" t="s">
        <v>342</v>
      </c>
      <c r="L14" s="470">
        <v>0.0003</v>
      </c>
      <c r="M14" s="104" t="s">
        <v>342</v>
      </c>
      <c r="N14" s="355">
        <v>0.0004</v>
      </c>
      <c r="O14" s="315"/>
    </row>
    <row r="15" spans="1:15" ht="15.75" customHeight="1">
      <c r="A15" s="313"/>
      <c r="B15" s="313"/>
      <c r="C15" s="348"/>
      <c r="D15" s="84" t="s">
        <v>343</v>
      </c>
      <c r="E15" s="84"/>
      <c r="F15" s="84"/>
      <c r="G15" s="84"/>
      <c r="H15" s="84"/>
      <c r="I15" s="403"/>
      <c r="J15" s="313"/>
      <c r="K15" s="104" t="s">
        <v>340</v>
      </c>
      <c r="L15" s="470">
        <f>IF(L12&gt;0,ROUND(L13*L14,3),0)</f>
        <v>0.04</v>
      </c>
      <c r="M15" s="275" t="s">
        <v>340</v>
      </c>
      <c r="N15" s="355">
        <f>IF(N12&gt;0,ROUND(N13*N14,3),0)</f>
        <v>0</v>
      </c>
      <c r="O15" s="315"/>
    </row>
    <row r="16" spans="1:15" ht="15.75" customHeight="1">
      <c r="A16" s="313"/>
      <c r="B16" s="313"/>
      <c r="C16" s="348"/>
      <c r="D16" s="84" t="s">
        <v>392</v>
      </c>
      <c r="E16" s="84"/>
      <c r="F16" s="84"/>
      <c r="G16" s="84"/>
      <c r="H16" s="84"/>
      <c r="I16" s="403"/>
      <c r="J16" s="313"/>
      <c r="K16" s="104" t="s">
        <v>344</v>
      </c>
      <c r="L16" s="470">
        <v>1.278</v>
      </c>
      <c r="M16" s="104" t="s">
        <v>344</v>
      </c>
      <c r="N16" s="355">
        <v>1.398</v>
      </c>
      <c r="O16" s="315"/>
    </row>
    <row r="17" spans="1:15" ht="15.75" customHeight="1" thickBot="1">
      <c r="A17" s="313"/>
      <c r="B17" s="313"/>
      <c r="C17" s="363"/>
      <c r="D17" s="305" t="s">
        <v>393</v>
      </c>
      <c r="E17" s="305"/>
      <c r="F17" s="305"/>
      <c r="G17" s="305"/>
      <c r="H17" s="305"/>
      <c r="I17" s="408"/>
      <c r="J17" s="409"/>
      <c r="K17" s="303" t="s">
        <v>340</v>
      </c>
      <c r="L17" s="471">
        <f>IF(L12&gt;0,ROUND(+L15+L16,3),0)</f>
        <v>1.318</v>
      </c>
      <c r="M17" s="304" t="s">
        <v>340</v>
      </c>
      <c r="N17" s="357">
        <f>IF(N12&gt;0,ROUND(+N15+N16,3),0)</f>
        <v>0</v>
      </c>
      <c r="O17" s="315"/>
    </row>
    <row r="18" spans="1:15" ht="15.75" customHeight="1" thickTop="1">
      <c r="A18" s="313"/>
      <c r="B18" s="313"/>
      <c r="C18" s="347" t="s">
        <v>345</v>
      </c>
      <c r="D18" s="84"/>
      <c r="E18" s="84"/>
      <c r="F18" s="283"/>
      <c r="G18" s="283"/>
      <c r="H18" s="283"/>
      <c r="I18" s="403"/>
      <c r="J18" s="313"/>
      <c r="K18" s="292"/>
      <c r="L18" s="84"/>
      <c r="M18" s="348"/>
      <c r="N18" s="350"/>
      <c r="O18" s="315"/>
    </row>
    <row r="19" spans="1:15" ht="15.75" customHeight="1">
      <c r="A19" s="313"/>
      <c r="B19" s="313"/>
      <c r="C19" s="348"/>
      <c r="D19" s="84" t="s">
        <v>337</v>
      </c>
      <c r="E19" s="84"/>
      <c r="F19" s="84"/>
      <c r="G19" s="84"/>
      <c r="H19" s="84"/>
      <c r="I19" s="403"/>
      <c r="J19" s="313"/>
      <c r="K19" s="348"/>
      <c r="L19" s="475">
        <v>600</v>
      </c>
      <c r="M19" s="352"/>
      <c r="N19" s="358">
        <v>600</v>
      </c>
      <c r="O19" s="315"/>
    </row>
    <row r="20" spans="1:15" ht="15.75" customHeight="1">
      <c r="A20" s="313"/>
      <c r="B20" s="313"/>
      <c r="C20" s="348"/>
      <c r="D20" s="84" t="s">
        <v>367</v>
      </c>
      <c r="E20" s="84"/>
      <c r="F20" s="84"/>
      <c r="G20" s="84"/>
      <c r="H20" s="84"/>
      <c r="I20" s="403"/>
      <c r="J20" s="313"/>
      <c r="K20" s="319" t="s">
        <v>338</v>
      </c>
      <c r="L20" s="470">
        <f>IF('Data Entry'!I20&gt;499.999,IF('Data Entry'!I20&lt;600,'Data Entry'!I20,0),0)</f>
        <v>0</v>
      </c>
      <c r="M20" s="275" t="s">
        <v>338</v>
      </c>
      <c r="N20" s="355">
        <f>IF('Data Entry'!L20&gt;499.999,IF('Data Entry'!L20&lt;600,'Data Entry'!L20,0),0)</f>
        <v>0</v>
      </c>
      <c r="O20" s="315"/>
    </row>
    <row r="21" spans="1:15" ht="15.75" customHeight="1">
      <c r="A21" s="313"/>
      <c r="B21" s="313"/>
      <c r="C21" s="348"/>
      <c r="D21" s="84" t="s">
        <v>339</v>
      </c>
      <c r="E21" s="84"/>
      <c r="F21" s="84"/>
      <c r="G21" s="84"/>
      <c r="H21" s="84"/>
      <c r="I21" s="403"/>
      <c r="J21" s="313"/>
      <c r="K21" s="406" t="s">
        <v>340</v>
      </c>
      <c r="L21" s="473">
        <f>IF(L20&gt;0,ROUND(+L19-L20,3),0)</f>
        <v>0</v>
      </c>
      <c r="M21" s="302" t="s">
        <v>340</v>
      </c>
      <c r="N21" s="356">
        <f>IF(N20&gt;0,ROUND(+N19-N20,3),0)</f>
        <v>0</v>
      </c>
      <c r="O21" s="315"/>
    </row>
    <row r="22" spans="1:15" ht="15.75" customHeight="1">
      <c r="A22" s="313"/>
      <c r="B22" s="313"/>
      <c r="C22" s="348"/>
      <c r="D22" s="84" t="s">
        <v>341</v>
      </c>
      <c r="E22" s="84"/>
      <c r="F22" s="84"/>
      <c r="G22" s="84"/>
      <c r="H22" s="84"/>
      <c r="I22" s="403"/>
      <c r="J22" s="313"/>
      <c r="K22" s="319" t="s">
        <v>342</v>
      </c>
      <c r="L22" s="470">
        <v>0.0012</v>
      </c>
      <c r="M22" s="104" t="s">
        <v>342</v>
      </c>
      <c r="N22" s="355">
        <v>0.0013</v>
      </c>
      <c r="O22" s="315"/>
    </row>
    <row r="23" spans="1:15" ht="15.75" customHeight="1">
      <c r="A23" s="313"/>
      <c r="B23" s="313"/>
      <c r="C23" s="348"/>
      <c r="D23" s="84" t="s">
        <v>343</v>
      </c>
      <c r="E23" s="84"/>
      <c r="F23" s="84"/>
      <c r="G23" s="84"/>
      <c r="H23" s="84"/>
      <c r="I23" s="403"/>
      <c r="J23" s="313"/>
      <c r="K23" s="406" t="s">
        <v>340</v>
      </c>
      <c r="L23" s="470">
        <f>IF(L20&gt;0,ROUND(L21*L22,3),0)</f>
        <v>0</v>
      </c>
      <c r="M23" s="275" t="s">
        <v>340</v>
      </c>
      <c r="N23" s="355">
        <f>IF(N20&gt;0,ROUND(N21*N22,3),0)</f>
        <v>0</v>
      </c>
      <c r="O23" s="315"/>
    </row>
    <row r="24" spans="1:15" ht="15.75" customHeight="1">
      <c r="A24" s="313"/>
      <c r="B24" s="313"/>
      <c r="C24" s="348"/>
      <c r="D24" s="84" t="s">
        <v>392</v>
      </c>
      <c r="E24" s="84"/>
      <c r="F24" s="84"/>
      <c r="G24" s="84"/>
      <c r="H24" s="84"/>
      <c r="I24" s="403"/>
      <c r="J24" s="313"/>
      <c r="K24" s="319" t="s">
        <v>344</v>
      </c>
      <c r="L24" s="470">
        <v>1.158</v>
      </c>
      <c r="M24" s="275" t="s">
        <v>344</v>
      </c>
      <c r="N24" s="355">
        <v>1.268</v>
      </c>
      <c r="O24" s="315"/>
    </row>
    <row r="25" spans="1:15" ht="15.75" customHeight="1" thickBot="1">
      <c r="A25" s="313"/>
      <c r="B25" s="313"/>
      <c r="C25" s="363"/>
      <c r="D25" s="305" t="s">
        <v>393</v>
      </c>
      <c r="E25" s="305"/>
      <c r="F25" s="305"/>
      <c r="G25" s="305"/>
      <c r="H25" s="305"/>
      <c r="I25" s="408"/>
      <c r="J25" s="409"/>
      <c r="K25" s="322" t="s">
        <v>340</v>
      </c>
      <c r="L25" s="471">
        <f>IF(L20&gt;0,ROUND(+L23+L24,3),0)</f>
        <v>0</v>
      </c>
      <c r="M25" s="303" t="s">
        <v>340</v>
      </c>
      <c r="N25" s="351">
        <f>IF(N20&gt;0,ROUND(+N23+N24,3),0)</f>
        <v>0</v>
      </c>
      <c r="O25" s="315"/>
    </row>
    <row r="26" spans="1:15" ht="15.75" customHeight="1" thickTop="1">
      <c r="A26" s="313"/>
      <c r="B26" s="313"/>
      <c r="C26" s="347" t="s">
        <v>394</v>
      </c>
      <c r="D26" s="84"/>
      <c r="E26" s="84"/>
      <c r="F26" s="284"/>
      <c r="G26" s="284"/>
      <c r="H26" s="283"/>
      <c r="I26" s="403"/>
      <c r="J26" s="313"/>
      <c r="K26" s="292"/>
      <c r="L26" s="349"/>
      <c r="M26" s="347"/>
      <c r="N26" s="350"/>
      <c r="O26" s="315"/>
    </row>
    <row r="27" spans="1:15" ht="15.75" customHeight="1" thickBot="1">
      <c r="A27" s="313"/>
      <c r="B27" s="313"/>
      <c r="C27" s="276"/>
      <c r="D27" s="305" t="s">
        <v>393</v>
      </c>
      <c r="E27" s="305"/>
      <c r="F27" s="305"/>
      <c r="G27" s="305"/>
      <c r="H27" s="305"/>
      <c r="I27" s="408"/>
      <c r="J27" s="409"/>
      <c r="K27" s="304"/>
      <c r="L27" s="469">
        <v>1.158</v>
      </c>
      <c r="M27" s="304"/>
      <c r="N27" s="351">
        <v>1.268</v>
      </c>
      <c r="O27" s="315"/>
    </row>
    <row r="28" spans="1:15" ht="15.75" customHeight="1" thickTop="1">
      <c r="A28" s="313"/>
      <c r="B28" s="313"/>
      <c r="C28" s="297"/>
      <c r="D28" s="84"/>
      <c r="E28" s="84"/>
      <c r="F28" s="84"/>
      <c r="G28" s="84"/>
      <c r="H28" s="84"/>
      <c r="I28" s="403"/>
      <c r="J28" s="313"/>
      <c r="K28" s="84"/>
      <c r="L28" s="84"/>
      <c r="M28" s="84"/>
      <c r="N28" s="84"/>
      <c r="O28" s="315"/>
    </row>
    <row r="29" spans="1:15" ht="15.75" customHeight="1">
      <c r="A29" s="313"/>
      <c r="B29" s="313"/>
      <c r="C29" s="297"/>
      <c r="D29" s="84"/>
      <c r="E29" s="84"/>
      <c r="F29" s="84"/>
      <c r="G29" s="84"/>
      <c r="H29" s="84"/>
      <c r="I29" s="403"/>
      <c r="J29" s="313"/>
      <c r="K29" s="84"/>
      <c r="L29" s="84"/>
      <c r="M29" s="84"/>
      <c r="N29" s="84"/>
      <c r="O29" s="315"/>
    </row>
    <row r="30" spans="1:15" ht="15.75" customHeight="1">
      <c r="A30" s="313"/>
      <c r="B30" s="313"/>
      <c r="C30" s="297"/>
      <c r="D30" s="84"/>
      <c r="E30" s="84"/>
      <c r="F30" s="84"/>
      <c r="G30" s="84"/>
      <c r="H30" s="84"/>
      <c r="I30" s="403"/>
      <c r="J30" s="313"/>
      <c r="K30" s="84"/>
      <c r="L30" s="84"/>
      <c r="M30" s="84"/>
      <c r="N30" s="84"/>
      <c r="O30" s="315"/>
    </row>
    <row r="31" spans="1:15" ht="15.75" customHeight="1">
      <c r="A31" s="313"/>
      <c r="B31" s="313"/>
      <c r="C31" s="445" t="s">
        <v>439</v>
      </c>
      <c r="D31" s="445"/>
      <c r="E31" s="445"/>
      <c r="F31" s="445"/>
      <c r="G31" s="445"/>
      <c r="H31" s="445"/>
      <c r="I31" s="461"/>
      <c r="J31" s="444"/>
      <c r="K31" s="445"/>
      <c r="L31" s="445"/>
      <c r="M31" s="445"/>
      <c r="N31" s="445"/>
      <c r="O31" s="462"/>
    </row>
    <row r="32" spans="1:15" ht="15.75" customHeight="1" thickBot="1">
      <c r="A32" s="313"/>
      <c r="B32" s="313"/>
      <c r="C32" s="410" t="s">
        <v>436</v>
      </c>
      <c r="D32" s="410"/>
      <c r="E32" s="407"/>
      <c r="F32" s="407"/>
      <c r="G32" s="407"/>
      <c r="H32" s="407"/>
      <c r="I32" s="411"/>
      <c r="J32" s="412"/>
      <c r="K32" s="418"/>
      <c r="L32" s="476" t="s">
        <v>333</v>
      </c>
      <c r="M32" s="419"/>
      <c r="N32" s="414" t="s">
        <v>334</v>
      </c>
      <c r="O32" s="315"/>
    </row>
    <row r="33" spans="1:15" ht="15.75" customHeight="1" thickTop="1">
      <c r="A33" s="313"/>
      <c r="B33" s="313"/>
      <c r="C33" s="348" t="s">
        <v>391</v>
      </c>
      <c r="D33" s="84"/>
      <c r="E33" s="84"/>
      <c r="F33" s="291"/>
      <c r="G33" s="291"/>
      <c r="H33" s="291"/>
      <c r="I33" s="403"/>
      <c r="J33" s="313"/>
      <c r="K33" s="348"/>
      <c r="L33" s="84"/>
      <c r="M33" s="348"/>
      <c r="N33" s="350"/>
      <c r="O33" s="315"/>
    </row>
    <row r="34" spans="1:15" ht="15.75" customHeight="1" thickBot="1">
      <c r="A34" s="313"/>
      <c r="B34" s="313"/>
      <c r="C34" s="363"/>
      <c r="D34" s="305" t="s">
        <v>335</v>
      </c>
      <c r="E34" s="305"/>
      <c r="F34" s="305"/>
      <c r="G34" s="305"/>
      <c r="H34" s="305"/>
      <c r="I34" s="408"/>
      <c r="J34" s="409"/>
      <c r="K34" s="304"/>
      <c r="L34" s="469">
        <v>1.399</v>
      </c>
      <c r="M34" s="304"/>
      <c r="N34" s="351">
        <v>1.559</v>
      </c>
      <c r="O34" s="315"/>
    </row>
    <row r="35" spans="1:15" ht="15.75" customHeight="1" thickTop="1">
      <c r="A35" s="313"/>
      <c r="B35" s="313"/>
      <c r="C35" s="347" t="s">
        <v>336</v>
      </c>
      <c r="D35" s="84"/>
      <c r="E35" s="84"/>
      <c r="F35" s="283"/>
      <c r="G35" s="283"/>
      <c r="H35" s="283"/>
      <c r="I35" s="403"/>
      <c r="J35" s="313"/>
      <c r="K35" s="360"/>
      <c r="L35" s="106"/>
      <c r="M35" s="348"/>
      <c r="N35" s="350"/>
      <c r="O35" s="315"/>
    </row>
    <row r="36" spans="1:15" ht="15.75" customHeight="1">
      <c r="A36" s="313"/>
      <c r="B36" s="313"/>
      <c r="C36" s="348"/>
      <c r="D36" s="84" t="s">
        <v>337</v>
      </c>
      <c r="E36" s="84"/>
      <c r="F36" s="84"/>
      <c r="G36" s="84"/>
      <c r="H36" s="84"/>
      <c r="I36" s="403"/>
      <c r="J36" s="313"/>
      <c r="K36" s="321"/>
      <c r="L36" s="472">
        <v>500</v>
      </c>
      <c r="M36" s="275"/>
      <c r="N36" s="358">
        <v>500</v>
      </c>
      <c r="O36" s="315"/>
    </row>
    <row r="37" spans="1:15" ht="15.75" customHeight="1">
      <c r="A37" s="313"/>
      <c r="B37" s="313"/>
      <c r="C37" s="348"/>
      <c r="D37" s="84" t="s">
        <v>367</v>
      </c>
      <c r="E37" s="84"/>
      <c r="F37" s="84"/>
      <c r="G37" s="84"/>
      <c r="H37" s="84"/>
      <c r="I37" s="403"/>
      <c r="J37" s="313"/>
      <c r="K37" s="321" t="s">
        <v>338</v>
      </c>
      <c r="L37" s="470">
        <f>IF('Data Entry'!I29&gt;99.999,IF('Data Entry'!I29&lt;500,'Data Entry'!I29,0),0)</f>
        <v>0</v>
      </c>
      <c r="M37" s="321" t="s">
        <v>338</v>
      </c>
      <c r="N37" s="355">
        <f>IF('Data Entry'!L29&gt;99.999,IF('Data Entry'!L29&lt;500,'Data Entry'!L29,0),0)</f>
        <v>0</v>
      </c>
      <c r="O37" s="315"/>
    </row>
    <row r="38" spans="1:15" ht="15.75" customHeight="1">
      <c r="A38" s="313"/>
      <c r="B38" s="313"/>
      <c r="C38" s="348"/>
      <c r="D38" s="84" t="s">
        <v>339</v>
      </c>
      <c r="E38" s="84"/>
      <c r="F38" s="84"/>
      <c r="G38" s="84"/>
      <c r="H38" s="84"/>
      <c r="I38" s="403"/>
      <c r="J38" s="313"/>
      <c r="K38" s="321" t="s">
        <v>340</v>
      </c>
      <c r="L38" s="473">
        <f>IF(L37&gt;0,ROUND(+L36-L37,3),0)</f>
        <v>0</v>
      </c>
      <c r="M38" s="321" t="s">
        <v>340</v>
      </c>
      <c r="N38" s="356">
        <f>IF(N37&gt;0,ROUND(+N36-N37,3),0)</f>
        <v>0</v>
      </c>
      <c r="O38" s="315"/>
    </row>
    <row r="39" spans="1:15" ht="15.75" customHeight="1">
      <c r="A39" s="313"/>
      <c r="B39" s="313"/>
      <c r="C39" s="348"/>
      <c r="D39" s="84" t="s">
        <v>341</v>
      </c>
      <c r="E39" s="84"/>
      <c r="F39" s="84"/>
      <c r="G39" s="84"/>
      <c r="H39" s="84"/>
      <c r="I39" s="403"/>
      <c r="J39" s="313"/>
      <c r="K39" s="321" t="s">
        <v>342</v>
      </c>
      <c r="L39" s="470">
        <v>0.0003</v>
      </c>
      <c r="M39" s="321" t="s">
        <v>342</v>
      </c>
      <c r="N39" s="355">
        <v>0.0004</v>
      </c>
      <c r="O39" s="315"/>
    </row>
    <row r="40" spans="1:15" ht="15.75" customHeight="1">
      <c r="A40" s="313"/>
      <c r="B40" s="313"/>
      <c r="C40" s="348"/>
      <c r="D40" s="84" t="s">
        <v>343</v>
      </c>
      <c r="E40" s="84"/>
      <c r="F40" s="84"/>
      <c r="G40" s="84"/>
      <c r="H40" s="84"/>
      <c r="I40" s="403"/>
      <c r="J40" s="313"/>
      <c r="K40" s="321" t="s">
        <v>340</v>
      </c>
      <c r="L40" s="470">
        <f>IF(L37&gt;0,ROUND(L38*L39,3),0)</f>
        <v>0</v>
      </c>
      <c r="M40" s="321" t="s">
        <v>340</v>
      </c>
      <c r="N40" s="355">
        <f>IF(N37&gt;0,ROUND(N38*N39,3),0)</f>
        <v>0</v>
      </c>
      <c r="O40" s="315"/>
    </row>
    <row r="41" spans="1:15" ht="15.75" customHeight="1">
      <c r="A41" s="313"/>
      <c r="B41" s="313"/>
      <c r="C41" s="348"/>
      <c r="D41" s="84" t="s">
        <v>392</v>
      </c>
      <c r="E41" s="84"/>
      <c r="F41" s="84"/>
      <c r="G41" s="84"/>
      <c r="H41" s="84"/>
      <c r="I41" s="403"/>
      <c r="J41" s="313"/>
      <c r="K41" s="321" t="s">
        <v>344</v>
      </c>
      <c r="L41" s="470">
        <v>1.278</v>
      </c>
      <c r="M41" s="321" t="s">
        <v>344</v>
      </c>
      <c r="N41" s="355">
        <v>1.398</v>
      </c>
      <c r="O41" s="315"/>
    </row>
    <row r="42" spans="1:15" ht="15.75" customHeight="1" thickBot="1">
      <c r="A42" s="313"/>
      <c r="B42" s="313"/>
      <c r="C42" s="363"/>
      <c r="D42" s="305" t="s">
        <v>393</v>
      </c>
      <c r="E42" s="305"/>
      <c r="F42" s="305"/>
      <c r="G42" s="305"/>
      <c r="H42" s="305"/>
      <c r="I42" s="408"/>
      <c r="J42" s="409"/>
      <c r="K42" s="322" t="s">
        <v>340</v>
      </c>
      <c r="L42" s="471">
        <f>IF(L37&gt;0,ROUND(+L40+L41,3),0)</f>
        <v>0</v>
      </c>
      <c r="M42" s="322" t="s">
        <v>340</v>
      </c>
      <c r="N42" s="351">
        <f>IF(N37&gt;0,ROUND(+N40+N41,3),0)</f>
        <v>0</v>
      </c>
      <c r="O42" s="315"/>
    </row>
    <row r="43" spans="1:15" ht="15.75" customHeight="1" thickTop="1">
      <c r="A43" s="313"/>
      <c r="B43" s="313"/>
      <c r="C43" s="347" t="s">
        <v>345</v>
      </c>
      <c r="D43" s="84"/>
      <c r="E43" s="84"/>
      <c r="F43" s="283"/>
      <c r="G43" s="283"/>
      <c r="H43" s="283"/>
      <c r="I43" s="403"/>
      <c r="J43" s="313"/>
      <c r="K43" s="292"/>
      <c r="L43" s="106"/>
      <c r="M43" s="348"/>
      <c r="N43" s="350"/>
      <c r="O43" s="315"/>
    </row>
    <row r="44" spans="1:15" ht="15.75" customHeight="1">
      <c r="A44" s="313"/>
      <c r="B44" s="313"/>
      <c r="C44" s="348"/>
      <c r="D44" s="84" t="s">
        <v>337</v>
      </c>
      <c r="E44" s="84"/>
      <c r="F44" s="84"/>
      <c r="G44" s="84"/>
      <c r="H44" s="84"/>
      <c r="I44" s="403"/>
      <c r="J44" s="313"/>
      <c r="K44" s="321"/>
      <c r="L44" s="472">
        <v>600</v>
      </c>
      <c r="M44" s="275"/>
      <c r="N44" s="358">
        <v>600</v>
      </c>
      <c r="O44" s="315"/>
    </row>
    <row r="45" spans="1:15" ht="15.75" customHeight="1">
      <c r="A45" s="313"/>
      <c r="B45" s="313"/>
      <c r="C45" s="348"/>
      <c r="D45" s="84" t="s">
        <v>367</v>
      </c>
      <c r="E45" s="84"/>
      <c r="F45" s="84"/>
      <c r="G45" s="84"/>
      <c r="H45" s="84"/>
      <c r="I45" s="403"/>
      <c r="J45" s="313"/>
      <c r="K45" s="321" t="s">
        <v>338</v>
      </c>
      <c r="L45" s="470">
        <f>IF('Data Entry'!I29&gt;499.999,IF('Data Entry'!I29&lt;600,'Data Entry'!I29,0),0)</f>
        <v>0</v>
      </c>
      <c r="M45" s="321" t="s">
        <v>338</v>
      </c>
      <c r="N45" s="355">
        <f>IF('Data Entry'!L29&gt;499.999,IF('Data Entry'!L29&lt;600,'Data Entry'!L29,0),0)</f>
        <v>0</v>
      </c>
      <c r="O45" s="315"/>
    </row>
    <row r="46" spans="1:15" ht="15.75" customHeight="1">
      <c r="A46" s="313"/>
      <c r="B46" s="313"/>
      <c r="C46" s="348"/>
      <c r="D46" s="84" t="s">
        <v>339</v>
      </c>
      <c r="E46" s="84"/>
      <c r="F46" s="84"/>
      <c r="G46" s="84"/>
      <c r="H46" s="84"/>
      <c r="I46" s="403"/>
      <c r="J46" s="313"/>
      <c r="K46" s="321" t="s">
        <v>340</v>
      </c>
      <c r="L46" s="473">
        <f>IF(L45&gt;0,ROUND(+L44-L45,3),0)</f>
        <v>0</v>
      </c>
      <c r="M46" s="321" t="s">
        <v>340</v>
      </c>
      <c r="N46" s="356">
        <f>IF(N45&gt;0,ROUND(+N44-N45,3),0)</f>
        <v>0</v>
      </c>
      <c r="O46" s="315"/>
    </row>
    <row r="47" spans="1:15" ht="15.75" customHeight="1">
      <c r="A47" s="313"/>
      <c r="B47" s="313"/>
      <c r="C47" s="348"/>
      <c r="D47" s="84" t="s">
        <v>341</v>
      </c>
      <c r="E47" s="84"/>
      <c r="F47" s="84"/>
      <c r="G47" s="84"/>
      <c r="H47" s="84"/>
      <c r="I47" s="403"/>
      <c r="J47" s="313"/>
      <c r="K47" s="321" t="s">
        <v>342</v>
      </c>
      <c r="L47" s="470">
        <v>0.0012</v>
      </c>
      <c r="M47" s="321" t="s">
        <v>342</v>
      </c>
      <c r="N47" s="355">
        <v>0.0013</v>
      </c>
      <c r="O47" s="315"/>
    </row>
    <row r="48" spans="1:15" ht="15.75" customHeight="1">
      <c r="A48" s="313"/>
      <c r="B48" s="313"/>
      <c r="C48" s="348"/>
      <c r="D48" s="84" t="s">
        <v>343</v>
      </c>
      <c r="E48" s="84"/>
      <c r="F48" s="84"/>
      <c r="G48" s="84"/>
      <c r="H48" s="84"/>
      <c r="I48" s="403"/>
      <c r="J48" s="313"/>
      <c r="K48" s="321" t="s">
        <v>340</v>
      </c>
      <c r="L48" s="470">
        <f>IF(L45&gt;0,ROUND(L46*L47,3),0)</f>
        <v>0</v>
      </c>
      <c r="M48" s="321" t="s">
        <v>340</v>
      </c>
      <c r="N48" s="355">
        <f>IF(N45&gt;0,ROUND(N46*N47,3),0)</f>
        <v>0</v>
      </c>
      <c r="O48" s="315"/>
    </row>
    <row r="49" spans="1:15" ht="15.75" customHeight="1">
      <c r="A49" s="313"/>
      <c r="B49" s="313"/>
      <c r="C49" s="348"/>
      <c r="D49" s="84" t="s">
        <v>392</v>
      </c>
      <c r="E49" s="84"/>
      <c r="F49" s="84"/>
      <c r="G49" s="84"/>
      <c r="H49" s="84"/>
      <c r="I49" s="403"/>
      <c r="J49" s="313"/>
      <c r="K49" s="321" t="s">
        <v>344</v>
      </c>
      <c r="L49" s="470">
        <v>1.158</v>
      </c>
      <c r="M49" s="321" t="s">
        <v>344</v>
      </c>
      <c r="N49" s="355">
        <v>1.268</v>
      </c>
      <c r="O49" s="315"/>
    </row>
    <row r="50" spans="1:15" ht="15.75" customHeight="1" thickBot="1">
      <c r="A50" s="313"/>
      <c r="B50" s="313"/>
      <c r="C50" s="363"/>
      <c r="D50" s="305" t="s">
        <v>393</v>
      </c>
      <c r="E50" s="305"/>
      <c r="F50" s="305"/>
      <c r="G50" s="305"/>
      <c r="H50" s="305"/>
      <c r="I50" s="408"/>
      <c r="J50" s="409"/>
      <c r="K50" s="322" t="s">
        <v>340</v>
      </c>
      <c r="L50" s="471">
        <f>IF(L45&gt;0,ROUND(+L48+L49,3),0)</f>
        <v>0</v>
      </c>
      <c r="M50" s="322" t="s">
        <v>340</v>
      </c>
      <c r="N50" s="351">
        <f>IF(N45&gt;0,ROUND(+N48+N49,3),0)</f>
        <v>0</v>
      </c>
      <c r="O50" s="315"/>
    </row>
    <row r="51" spans="1:15" ht="15.75" customHeight="1" thickTop="1">
      <c r="A51" s="313"/>
      <c r="B51" s="313"/>
      <c r="C51" s="347" t="s">
        <v>394</v>
      </c>
      <c r="D51" s="84"/>
      <c r="E51" s="84"/>
      <c r="F51" s="284"/>
      <c r="G51" s="284"/>
      <c r="H51" s="283"/>
      <c r="I51" s="403"/>
      <c r="J51" s="313"/>
      <c r="K51" s="292"/>
      <c r="L51" s="84"/>
      <c r="M51" s="348"/>
      <c r="N51" s="350"/>
      <c r="O51" s="315"/>
    </row>
    <row r="52" spans="1:15" ht="15.75" customHeight="1" thickBot="1">
      <c r="A52" s="313"/>
      <c r="B52" s="313"/>
      <c r="C52" s="276"/>
      <c r="D52" s="305" t="s">
        <v>393</v>
      </c>
      <c r="E52" s="305"/>
      <c r="F52" s="305"/>
      <c r="G52" s="305"/>
      <c r="H52" s="305"/>
      <c r="I52" s="408"/>
      <c r="J52" s="409"/>
      <c r="K52" s="304"/>
      <c r="L52" s="469">
        <v>1.158</v>
      </c>
      <c r="M52" s="420"/>
      <c r="N52" s="351">
        <v>1.268</v>
      </c>
      <c r="O52" s="315"/>
    </row>
    <row r="53" spans="1:15" ht="15.75" customHeight="1" thickTop="1">
      <c r="A53" s="313"/>
      <c r="B53" s="313"/>
      <c r="C53" s="313"/>
      <c r="D53" s="313"/>
      <c r="E53" s="403"/>
      <c r="F53" s="403"/>
      <c r="G53" s="403"/>
      <c r="H53" s="313"/>
      <c r="I53" s="403"/>
      <c r="J53" s="313"/>
      <c r="K53" s="313"/>
      <c r="L53" s="315"/>
      <c r="M53" s="315"/>
      <c r="N53" s="313"/>
      <c r="O53" s="315"/>
    </row>
    <row r="54" spans="1:15" ht="15.75" customHeight="1">
      <c r="A54" s="313"/>
      <c r="B54" s="313"/>
      <c r="C54" s="313"/>
      <c r="D54" s="313"/>
      <c r="E54" s="403"/>
      <c r="F54" s="403"/>
      <c r="G54" s="403"/>
      <c r="H54" s="313"/>
      <c r="I54" s="403"/>
      <c r="J54" s="313"/>
      <c r="K54" s="313"/>
      <c r="L54" s="315"/>
      <c r="M54" s="315"/>
      <c r="N54" s="313"/>
      <c r="O54" s="315"/>
    </row>
    <row r="55" spans="1:15" ht="15.75" customHeight="1">
      <c r="A55" s="313"/>
      <c r="B55" s="313"/>
      <c r="C55" s="313"/>
      <c r="D55" s="313"/>
      <c r="E55" s="403"/>
      <c r="F55" s="403"/>
      <c r="G55" s="403"/>
      <c r="H55" s="313"/>
      <c r="I55" s="403"/>
      <c r="J55" s="313"/>
      <c r="K55" s="313"/>
      <c r="L55" s="315"/>
      <c r="M55" s="315"/>
      <c r="N55" s="313"/>
      <c r="O55" s="315"/>
    </row>
    <row r="56" spans="1:15" ht="15.75" customHeight="1">
      <c r="A56" s="313"/>
      <c r="B56" s="277" t="s">
        <v>464</v>
      </c>
      <c r="C56" s="277"/>
      <c r="D56" s="84"/>
      <c r="E56" s="84"/>
      <c r="F56" s="84"/>
      <c r="G56" s="403"/>
      <c r="H56" s="313"/>
      <c r="I56" s="403"/>
      <c r="J56" s="313"/>
      <c r="K56" s="313"/>
      <c r="L56" s="315"/>
      <c r="M56" s="315"/>
      <c r="N56" s="313"/>
      <c r="O56" s="315"/>
    </row>
    <row r="57" spans="1:15" ht="15.75" customHeight="1">
      <c r="A57" s="313"/>
      <c r="B57" s="312">
        <v>1</v>
      </c>
      <c r="C57" s="84" t="s">
        <v>397</v>
      </c>
      <c r="D57" s="84"/>
      <c r="E57" s="84"/>
      <c r="F57" s="84"/>
      <c r="G57" s="403"/>
      <c r="H57" s="313"/>
      <c r="I57" s="403"/>
      <c r="J57" s="313"/>
      <c r="K57" s="313"/>
      <c r="L57" s="306">
        <f>IF('Data Entry'!I20&gt;0,IF('Data Entry'!I20&lt;100,L9,IF('Data Entry'!I20&lt;500,L17,IF('Data Entry'!I20&lt;600,L25,L27))),0)</f>
        <v>1.318</v>
      </c>
      <c r="M57" s="315"/>
      <c r="N57" s="103">
        <f>IF('Data Entry'!L20&gt;0,IF('Data Entry'!L20&lt;100,N9,IF('Data Entry'!L20&lt;500,N17,IF('Data Entry'!L20&lt;600,N25,N27))),0)</f>
        <v>1.559</v>
      </c>
      <c r="O57" s="315"/>
    </row>
    <row r="58" spans="1:15" ht="15.75" customHeight="1">
      <c r="A58" s="313"/>
      <c r="B58" s="312">
        <v>2</v>
      </c>
      <c r="C58" s="84" t="s">
        <v>398</v>
      </c>
      <c r="D58" s="84"/>
      <c r="E58" s="84"/>
      <c r="F58" s="84"/>
      <c r="G58" s="403"/>
      <c r="H58" s="313"/>
      <c r="I58" s="403"/>
      <c r="J58" s="313"/>
      <c r="K58" s="313"/>
      <c r="L58" s="103">
        <f>IF(AND('Data Entry'!I29=0,'Data Entry'!$A$7="X"),1.158,IF('Data Entry'!I29&gt;0,IF('Data Entry'!I29&lt;100,L34,IF('Data Entry'!I29&lt;500,L42,IF('Data Entry'!I29&lt;600,L50,L52))),0))</f>
        <v>1.158</v>
      </c>
      <c r="M58" s="315"/>
      <c r="N58" s="103">
        <f>IF(AND('Data Entry'!L29=0,'Data Entry'!$A$7="X"),1.268,IF('Data Entry'!L29&gt;0,IF('Data Entry'!L29&lt;100,N34,IF('Data Entry'!L29&lt;500,N42,IF('Data Entry'!L29&lt;600,N50,N52))),0))</f>
        <v>1.268</v>
      </c>
      <c r="O58" s="315"/>
    </row>
    <row r="59" spans="1:15" ht="15.75" customHeight="1">
      <c r="A59" s="313"/>
      <c r="B59" s="312">
        <v>3</v>
      </c>
      <c r="C59" s="299" t="s">
        <v>414</v>
      </c>
      <c r="D59" s="299"/>
      <c r="E59" s="299"/>
      <c r="F59" s="299"/>
      <c r="G59" s="403"/>
      <c r="H59" s="313"/>
      <c r="I59" s="403"/>
      <c r="J59" s="313"/>
      <c r="K59" s="313"/>
      <c r="L59" s="353">
        <f>IF('Data Entry'!$A$7="X",L57-L58,0)</f>
        <v>0.16</v>
      </c>
      <c r="M59" s="315"/>
      <c r="N59" s="353">
        <f>IF('Data Entry'!$A$7="X",N57-N58,0)</f>
        <v>0.291</v>
      </c>
      <c r="O59" s="315"/>
    </row>
    <row r="60" spans="1:15" ht="15.75" customHeight="1">
      <c r="A60" s="313"/>
      <c r="B60" s="313"/>
      <c r="C60" s="313"/>
      <c r="D60" s="313"/>
      <c r="E60" s="403"/>
      <c r="F60" s="403"/>
      <c r="G60" s="403"/>
      <c r="H60" s="313"/>
      <c r="I60" s="403"/>
      <c r="J60" s="313"/>
      <c r="K60" s="313"/>
      <c r="L60" s="315"/>
      <c r="M60" s="315"/>
      <c r="N60" s="313"/>
      <c r="O60" s="315"/>
    </row>
    <row r="61" spans="1:15" ht="15.75" customHeight="1">
      <c r="A61" s="313"/>
      <c r="B61" s="313"/>
      <c r="C61" s="313"/>
      <c r="D61" s="313"/>
      <c r="E61" s="403"/>
      <c r="F61" s="403"/>
      <c r="G61" s="403"/>
      <c r="H61" s="313"/>
      <c r="I61" s="403"/>
      <c r="J61" s="313"/>
      <c r="K61" s="313"/>
      <c r="L61" s="315"/>
      <c r="M61" s="315"/>
      <c r="N61" s="313"/>
      <c r="O61" s="315"/>
    </row>
    <row r="63" spans="1:14" ht="12.75">
      <c r="A63" s="311"/>
      <c r="B63" s="277" t="s">
        <v>463</v>
      </c>
      <c r="D63" s="311"/>
      <c r="E63" s="311"/>
      <c r="F63" s="311"/>
      <c r="G63" s="311"/>
      <c r="H63" s="295"/>
      <c r="I63" s="295"/>
      <c r="J63" s="295"/>
      <c r="L63" s="314" t="s">
        <v>333</v>
      </c>
      <c r="M63" s="295"/>
      <c r="N63" s="315" t="s">
        <v>334</v>
      </c>
    </row>
    <row r="64" spans="2:16" ht="12.75">
      <c r="B64" s="446">
        <v>1</v>
      </c>
      <c r="C64" s="295" t="s">
        <v>346</v>
      </c>
      <c r="D64" s="295"/>
      <c r="E64" s="295"/>
      <c r="F64" s="295"/>
      <c r="G64" s="295"/>
      <c r="H64" s="295"/>
      <c r="I64" s="295"/>
      <c r="J64" s="295"/>
      <c r="L64" s="441">
        <f>'Data Entry'!I17</f>
        <v>368.295</v>
      </c>
      <c r="N64" s="441">
        <f>'Data Entry'!L17</f>
        <v>84.57</v>
      </c>
      <c r="P64" s="422"/>
    </row>
    <row r="65" spans="2:16" ht="12.75">
      <c r="B65" s="446">
        <v>2</v>
      </c>
      <c r="C65" s="295" t="s">
        <v>444</v>
      </c>
      <c r="D65" s="295"/>
      <c r="E65" s="295"/>
      <c r="F65" s="295"/>
      <c r="G65" s="295"/>
      <c r="H65" s="295"/>
      <c r="I65" s="295"/>
      <c r="J65" s="295"/>
      <c r="L65" s="442">
        <f>'Data Entry'!I18*95%</f>
        <v>0</v>
      </c>
      <c r="N65" s="443">
        <f>'Data Entry'!L18*95%</f>
        <v>0</v>
      </c>
      <c r="P65" s="422"/>
    </row>
    <row r="66" spans="2:14" ht="12.75">
      <c r="B66" s="446">
        <v>3</v>
      </c>
      <c r="C66" s="295" t="s">
        <v>445</v>
      </c>
      <c r="D66" s="295"/>
      <c r="E66" s="295"/>
      <c r="F66" s="295"/>
      <c r="G66" s="295"/>
      <c r="H66" s="295"/>
      <c r="I66" s="295"/>
      <c r="L66" s="443">
        <f>'Data Entry'!I19*85%</f>
        <v>0</v>
      </c>
      <c r="N66" s="443">
        <f>'Data Entry'!L19*85%</f>
        <v>0</v>
      </c>
    </row>
    <row r="67" spans="2:14" ht="12.75">
      <c r="B67" s="312">
        <v>4</v>
      </c>
      <c r="C67" s="295" t="s">
        <v>402</v>
      </c>
      <c r="D67" s="295"/>
      <c r="E67" s="295"/>
      <c r="F67" s="295"/>
      <c r="G67" s="295"/>
      <c r="H67" s="295"/>
      <c r="I67" s="295"/>
      <c r="L67" s="442">
        <f>SUM(L64:L66)</f>
        <v>368.295</v>
      </c>
      <c r="N67" s="442">
        <f>SUM(N64:N66)</f>
        <v>84.57</v>
      </c>
    </row>
    <row r="68" spans="2:14" ht="12.75">
      <c r="B68" s="312">
        <v>5</v>
      </c>
      <c r="C68" s="295" t="s">
        <v>399</v>
      </c>
      <c r="D68" s="295"/>
      <c r="E68" s="295"/>
      <c r="F68" s="295"/>
      <c r="G68" s="295"/>
      <c r="H68" s="295"/>
      <c r="I68" s="295"/>
      <c r="L68" s="442">
        <f>L59</f>
        <v>0.16</v>
      </c>
      <c r="N68" s="442">
        <f>N59</f>
        <v>0.291</v>
      </c>
    </row>
    <row r="69" spans="2:14" ht="12.75">
      <c r="B69" s="312">
        <v>6</v>
      </c>
      <c r="C69" s="295" t="s">
        <v>400</v>
      </c>
      <c r="D69" s="295"/>
      <c r="E69" s="295"/>
      <c r="F69" s="295"/>
      <c r="G69" s="295"/>
      <c r="H69" s="295"/>
      <c r="I69" s="295"/>
      <c r="L69" s="442">
        <f>L67*L68</f>
        <v>58.927</v>
      </c>
      <c r="N69" s="442">
        <f>N67*N68</f>
        <v>24.61</v>
      </c>
    </row>
    <row r="70" spans="2:14" ht="12.75">
      <c r="B70" s="312">
        <v>7</v>
      </c>
      <c r="C70" s="295" t="s">
        <v>526</v>
      </c>
      <c r="D70" s="295"/>
      <c r="E70" s="295"/>
      <c r="F70" s="295"/>
      <c r="G70" s="295"/>
      <c r="H70" s="295"/>
      <c r="I70" s="295"/>
      <c r="K70" s="344" t="s">
        <v>4</v>
      </c>
      <c r="L70" s="492">
        <f>IF('Data Entry'!C61="X",(4150.43*0.05)+4150.43,4150.43)</f>
        <v>4150.43</v>
      </c>
      <c r="M70" s="493" t="s">
        <v>4</v>
      </c>
      <c r="N70" s="492">
        <f>IF('Data Entry'!C61="X",(4150.43*0.05)+4150.43,4150.43)</f>
        <v>4150.43</v>
      </c>
    </row>
    <row r="71" spans="2:14" ht="12.75">
      <c r="B71" s="312">
        <v>8</v>
      </c>
      <c r="C71" s="295" t="s">
        <v>450</v>
      </c>
      <c r="D71" s="295"/>
      <c r="E71" s="295"/>
      <c r="F71" s="295"/>
      <c r="G71" s="295"/>
      <c r="H71" s="295"/>
      <c r="I71" s="295"/>
      <c r="K71" s="344" t="s">
        <v>4</v>
      </c>
      <c r="L71" s="332">
        <f>L69*L70</f>
        <v>244572.39</v>
      </c>
      <c r="M71" s="344" t="s">
        <v>4</v>
      </c>
      <c r="N71" s="332">
        <f>N69*N70</f>
        <v>102142.08</v>
      </c>
    </row>
    <row r="72" spans="2:14" ht="13.5" thickBot="1">
      <c r="B72" s="312">
        <v>9</v>
      </c>
      <c r="C72" s="295" t="s">
        <v>401</v>
      </c>
      <c r="D72" s="295"/>
      <c r="E72" s="295"/>
      <c r="F72" s="295"/>
      <c r="G72" s="295"/>
      <c r="H72" s="295"/>
      <c r="I72" s="295"/>
      <c r="M72" s="344" t="s">
        <v>4</v>
      </c>
      <c r="N72" s="338">
        <f>L71+N71</f>
        <v>346714.47</v>
      </c>
    </row>
    <row r="73" ht="12" thickTop="1"/>
    <row r="74" spans="1:6" ht="12.75">
      <c r="A74" s="311"/>
      <c r="C74" s="311"/>
      <c r="D74" s="311"/>
      <c r="E74" s="311"/>
      <c r="F74" s="311"/>
    </row>
    <row r="75" spans="1:31" ht="12.75">
      <c r="A75" s="311"/>
      <c r="B75" s="424" t="s">
        <v>462</v>
      </c>
      <c r="C75" s="311"/>
      <c r="D75" s="311"/>
      <c r="E75" s="311"/>
      <c r="F75" s="311"/>
      <c r="T75" s="580"/>
      <c r="U75" s="580"/>
      <c r="V75" s="580"/>
      <c r="W75" s="580"/>
      <c r="X75" s="580"/>
      <c r="Y75" s="580"/>
      <c r="Z75" s="580"/>
      <c r="AA75" s="580"/>
      <c r="AB75" s="580"/>
      <c r="AC75" s="580"/>
      <c r="AD75" s="580"/>
      <c r="AE75" s="580"/>
    </row>
    <row r="76" spans="2:16" ht="12.75" customHeight="1">
      <c r="B76" s="704" t="s">
        <v>481</v>
      </c>
      <c r="C76" s="704"/>
      <c r="D76" s="704"/>
      <c r="E76" s="704"/>
      <c r="F76" s="704"/>
      <c r="G76" s="704"/>
      <c r="H76" s="704"/>
      <c r="I76" s="704"/>
      <c r="J76" s="704"/>
      <c r="K76" s="704"/>
      <c r="L76" s="704"/>
      <c r="M76" s="704"/>
      <c r="N76" s="704"/>
      <c r="O76" s="704"/>
      <c r="P76" s="422"/>
    </row>
    <row r="77" spans="2:16" ht="12.75" customHeight="1">
      <c r="B77" s="704"/>
      <c r="C77" s="704"/>
      <c r="D77" s="704"/>
      <c r="E77" s="704"/>
      <c r="F77" s="704"/>
      <c r="G77" s="704"/>
      <c r="H77" s="704"/>
      <c r="I77" s="704"/>
      <c r="J77" s="704"/>
      <c r="K77" s="704"/>
      <c r="L77" s="704"/>
      <c r="M77" s="704"/>
      <c r="N77" s="704"/>
      <c r="O77" s="704"/>
      <c r="P77" s="422"/>
    </row>
    <row r="78" spans="2:16" ht="12.75" customHeight="1">
      <c r="B78" s="704"/>
      <c r="C78" s="704"/>
      <c r="D78" s="704"/>
      <c r="E78" s="704"/>
      <c r="F78" s="704"/>
      <c r="G78" s="704"/>
      <c r="H78" s="704"/>
      <c r="I78" s="704"/>
      <c r="J78" s="704"/>
      <c r="K78" s="704"/>
      <c r="L78" s="704"/>
      <c r="M78" s="704"/>
      <c r="N78" s="704"/>
      <c r="O78" s="704"/>
      <c r="P78" s="422"/>
    </row>
    <row r="79" spans="2:16" ht="12.75" customHeight="1">
      <c r="B79" s="704"/>
      <c r="C79" s="704"/>
      <c r="D79" s="704"/>
      <c r="E79" s="704"/>
      <c r="F79" s="704"/>
      <c r="G79" s="704"/>
      <c r="H79" s="704"/>
      <c r="I79" s="704"/>
      <c r="J79" s="704"/>
      <c r="K79" s="704"/>
      <c r="L79" s="704"/>
      <c r="M79" s="704"/>
      <c r="N79" s="704"/>
      <c r="O79" s="704"/>
      <c r="P79" s="422"/>
    </row>
    <row r="80" spans="2:16" ht="12.75" customHeight="1">
      <c r="B80" s="704"/>
      <c r="C80" s="704"/>
      <c r="D80" s="704"/>
      <c r="E80" s="704"/>
      <c r="F80" s="704"/>
      <c r="G80" s="704"/>
      <c r="H80" s="704"/>
      <c r="I80" s="704"/>
      <c r="J80" s="704"/>
      <c r="K80" s="704"/>
      <c r="L80" s="704"/>
      <c r="M80" s="704"/>
      <c r="N80" s="704"/>
      <c r="O80" s="704"/>
      <c r="P80" s="422"/>
    </row>
    <row r="81" spans="2:16" ht="12.75" customHeight="1">
      <c r="B81" s="704"/>
      <c r="C81" s="704"/>
      <c r="D81" s="704"/>
      <c r="E81" s="704"/>
      <c r="F81" s="704"/>
      <c r="G81" s="704"/>
      <c r="H81" s="704"/>
      <c r="I81" s="704"/>
      <c r="J81" s="704"/>
      <c r="K81" s="704"/>
      <c r="L81" s="704"/>
      <c r="M81" s="704"/>
      <c r="N81" s="704"/>
      <c r="O81" s="704"/>
      <c r="P81" s="422"/>
    </row>
    <row r="82" spans="2:16" ht="12.75" customHeight="1">
      <c r="B82" s="447"/>
      <c r="C82" s="447"/>
      <c r="D82" s="447"/>
      <c r="E82" s="447"/>
      <c r="F82" s="447"/>
      <c r="G82" s="447"/>
      <c r="H82" s="447"/>
      <c r="I82" s="447"/>
      <c r="J82" s="447"/>
      <c r="K82" s="447"/>
      <c r="L82" s="447"/>
      <c r="M82" s="447"/>
      <c r="N82" s="447"/>
      <c r="O82" s="447"/>
      <c r="P82" s="422"/>
    </row>
    <row r="83" spans="2:26" ht="12.75">
      <c r="B83" s="702" t="s">
        <v>361</v>
      </c>
      <c r="C83" s="702"/>
      <c r="D83" s="702"/>
      <c r="E83" s="702"/>
      <c r="F83" s="702"/>
      <c r="G83" s="702"/>
      <c r="H83" s="295"/>
      <c r="M83" s="344"/>
      <c r="N83" s="339"/>
      <c r="V83" s="300"/>
      <c r="W83" s="300"/>
      <c r="X83" s="300"/>
      <c r="Y83" s="300"/>
      <c r="Z83" s="300"/>
    </row>
    <row r="84" spans="2:18" ht="12.75" customHeight="1">
      <c r="B84" s="295"/>
      <c r="C84" s="295"/>
      <c r="D84" s="295"/>
      <c r="E84" s="368"/>
      <c r="F84" s="316" t="s">
        <v>351</v>
      </c>
      <c r="G84" s="426" t="s">
        <v>350</v>
      </c>
      <c r="H84" s="428"/>
      <c r="M84" s="344"/>
      <c r="N84" s="339"/>
      <c r="R84" s="368"/>
    </row>
    <row r="85" spans="2:18" ht="12.75">
      <c r="B85" s="295" t="s">
        <v>362</v>
      </c>
      <c r="C85" s="295"/>
      <c r="D85" s="295"/>
      <c r="E85" s="327"/>
      <c r="F85" s="317">
        <f>'Data Entry'!I39*0.06</f>
        <v>9.157</v>
      </c>
      <c r="G85" s="427">
        <f>'Data Entry'!I38*0.04</f>
        <v>6.104</v>
      </c>
      <c r="H85" s="429"/>
      <c r="N85" s="405"/>
      <c r="R85" s="327"/>
    </row>
    <row r="86" spans="2:18" ht="12.75" customHeight="1">
      <c r="B86" s="295" t="s">
        <v>363</v>
      </c>
      <c r="C86" s="295"/>
      <c r="D86" s="295"/>
      <c r="E86" s="327"/>
      <c r="F86" s="317">
        <f>'Data Entry'!J39*0.06*0.95</f>
        <v>0</v>
      </c>
      <c r="G86" s="427">
        <f>'Data Entry'!J38*0.04*0.95</f>
        <v>0</v>
      </c>
      <c r="H86" s="429"/>
      <c r="M86" s="344"/>
      <c r="N86" s="339"/>
      <c r="Q86" s="295"/>
      <c r="R86" s="327"/>
    </row>
    <row r="87" spans="2:18" ht="12.75" customHeight="1">
      <c r="B87" s="295" t="s">
        <v>364</v>
      </c>
      <c r="C87" s="430"/>
      <c r="D87" s="430"/>
      <c r="E87" s="327"/>
      <c r="F87" s="317">
        <f>'Data Entry'!K39*0.06*0.85</f>
        <v>0</v>
      </c>
      <c r="G87" s="427">
        <f>'Data Entry'!K38*0.04*0.85</f>
        <v>0</v>
      </c>
      <c r="H87" s="429"/>
      <c r="I87" s="295"/>
      <c r="L87" s="84" t="s">
        <v>351</v>
      </c>
      <c r="M87" s="440" t="s">
        <v>4</v>
      </c>
      <c r="N87" s="438">
        <f>L70*F88</f>
        <v>38005.49</v>
      </c>
      <c r="Q87" s="368"/>
      <c r="R87" s="327"/>
    </row>
    <row r="88" spans="2:18" ht="12.75">
      <c r="B88" s="295" t="s">
        <v>202</v>
      </c>
      <c r="C88" s="430"/>
      <c r="D88" s="430"/>
      <c r="E88" s="327"/>
      <c r="F88" s="317">
        <f>SUM(F85:F87)</f>
        <v>9.157</v>
      </c>
      <c r="G88" s="427">
        <f>SUM(G85:G87)</f>
        <v>6.104</v>
      </c>
      <c r="H88" s="429"/>
      <c r="I88" s="295"/>
      <c r="L88" s="84" t="s">
        <v>350</v>
      </c>
      <c r="M88" s="440" t="s">
        <v>4</v>
      </c>
      <c r="N88" s="439">
        <f>L70*G88</f>
        <v>25334.22</v>
      </c>
      <c r="P88" s="295"/>
      <c r="Q88" s="327"/>
      <c r="R88" s="327"/>
    </row>
    <row r="89" spans="2:17" ht="12.75" customHeight="1">
      <c r="B89" s="430"/>
      <c r="C89" s="430"/>
      <c r="D89" s="430"/>
      <c r="E89" s="295"/>
      <c r="F89" s="430"/>
      <c r="G89" s="430"/>
      <c r="H89" s="430"/>
      <c r="I89" s="295"/>
      <c r="M89" s="344"/>
      <c r="N89" s="339"/>
      <c r="P89" s="295"/>
      <c r="Q89" s="327"/>
    </row>
    <row r="90" spans="1:17" ht="12.75" customHeight="1">
      <c r="A90" s="431"/>
      <c r="B90" s="703" t="s">
        <v>365</v>
      </c>
      <c r="C90" s="703"/>
      <c r="D90" s="703"/>
      <c r="E90" s="703"/>
      <c r="F90" s="703"/>
      <c r="G90" s="703"/>
      <c r="H90" s="430"/>
      <c r="I90" s="295"/>
      <c r="M90" s="344"/>
      <c r="N90" s="339"/>
      <c r="P90" s="295"/>
      <c r="Q90" s="327"/>
    </row>
    <row r="91" spans="1:17" ht="12.75">
      <c r="A91" s="116"/>
      <c r="B91" s="703"/>
      <c r="C91" s="703"/>
      <c r="D91" s="703"/>
      <c r="E91" s="703"/>
      <c r="F91" s="703"/>
      <c r="G91" s="703"/>
      <c r="H91" s="295"/>
      <c r="I91" s="295"/>
      <c r="M91" s="344"/>
      <c r="N91" s="339"/>
      <c r="P91" s="295"/>
      <c r="Q91" s="327"/>
    </row>
    <row r="92" spans="1:18" ht="12.75" customHeight="1">
      <c r="A92" s="116"/>
      <c r="B92" s="116"/>
      <c r="C92" s="116"/>
      <c r="M92" s="340"/>
      <c r="N92" s="423"/>
      <c r="P92" s="665"/>
      <c r="Q92" s="665"/>
      <c r="R92" s="665"/>
    </row>
    <row r="93" spans="1:18" ht="12.75" customHeight="1">
      <c r="A93" s="116"/>
      <c r="B93" s="116"/>
      <c r="C93" s="116"/>
      <c r="D93" s="295"/>
      <c r="F93" s="312"/>
      <c r="G93" s="295"/>
      <c r="H93" s="295"/>
      <c r="I93" s="295"/>
      <c r="L93" s="84"/>
      <c r="M93" s="344"/>
      <c r="N93" s="425"/>
      <c r="P93" s="665"/>
      <c r="Q93" s="665"/>
      <c r="R93" s="665"/>
    </row>
    <row r="94" spans="1:18" ht="12.75">
      <c r="A94" s="116"/>
      <c r="B94" s="116"/>
      <c r="C94" s="116"/>
      <c r="L94" s="84"/>
      <c r="M94" s="344"/>
      <c r="N94" s="425"/>
      <c r="P94" s="318"/>
      <c r="Q94" s="318"/>
      <c r="R94" s="318"/>
    </row>
    <row r="95" spans="1:18" ht="12.75">
      <c r="A95" s="116"/>
      <c r="B95" s="116"/>
      <c r="C95" s="116"/>
      <c r="L95" s="84"/>
      <c r="M95" s="344"/>
      <c r="N95" s="331"/>
      <c r="P95" s="318"/>
      <c r="Q95" s="318"/>
      <c r="R95" s="318"/>
    </row>
    <row r="96" spans="1:12" ht="12.75">
      <c r="A96" s="311" t="s">
        <v>527</v>
      </c>
      <c r="C96" s="311"/>
      <c r="D96" s="311"/>
      <c r="E96" s="311"/>
      <c r="F96" s="311"/>
      <c r="G96" s="311"/>
      <c r="H96" s="311"/>
      <c r="I96" s="311"/>
      <c r="J96" s="311"/>
      <c r="K96" s="311"/>
      <c r="L96" s="311"/>
    </row>
    <row r="97" spans="1:15" ht="12.75" customHeight="1">
      <c r="A97" s="697" t="s">
        <v>528</v>
      </c>
      <c r="B97" s="697"/>
      <c r="C97" s="697"/>
      <c r="D97" s="697"/>
      <c r="E97" s="697"/>
      <c r="F97" s="697"/>
      <c r="G97" s="697"/>
      <c r="H97" s="697"/>
      <c r="I97" s="697"/>
      <c r="J97" s="697"/>
      <c r="K97" s="697"/>
      <c r="L97" s="697"/>
      <c r="M97" s="697"/>
      <c r="N97" s="697"/>
      <c r="O97" s="697"/>
    </row>
    <row r="98" spans="1:15" ht="12.75" customHeight="1">
      <c r="A98" s="697"/>
      <c r="B98" s="697"/>
      <c r="C98" s="697"/>
      <c r="D98" s="697"/>
      <c r="E98" s="697"/>
      <c r="F98" s="697"/>
      <c r="G98" s="697"/>
      <c r="H98" s="697"/>
      <c r="I98" s="697"/>
      <c r="J98" s="697"/>
      <c r="K98" s="697"/>
      <c r="L98" s="697"/>
      <c r="M98" s="697"/>
      <c r="N98" s="697"/>
      <c r="O98" s="697"/>
    </row>
    <row r="99" spans="1:15" ht="12.75" customHeight="1">
      <c r="A99" s="430"/>
      <c r="B99" s="430"/>
      <c r="C99" s="430"/>
      <c r="D99" s="430"/>
      <c r="E99" s="430"/>
      <c r="F99" s="430"/>
      <c r="G99" s="430"/>
      <c r="H99" s="430"/>
      <c r="I99" s="430"/>
      <c r="J99" s="430"/>
      <c r="K99" s="430"/>
      <c r="L99" s="430"/>
      <c r="M99" s="430"/>
      <c r="N99" s="430"/>
      <c r="O99" s="463"/>
    </row>
    <row r="100" spans="2:14" ht="12.75">
      <c r="B100" s="330"/>
      <c r="J100" s="314"/>
      <c r="L100" s="314" t="s">
        <v>333</v>
      </c>
      <c r="N100" s="314" t="s">
        <v>334</v>
      </c>
    </row>
    <row r="101" spans="2:14" ht="12.75">
      <c r="B101" s="421">
        <v>1</v>
      </c>
      <c r="C101" s="84" t="s">
        <v>524</v>
      </c>
      <c r="J101" s="405"/>
      <c r="K101" s="295" t="s">
        <v>4</v>
      </c>
      <c r="L101" s="337">
        <f>CHAR55!D128</f>
        <v>678819.25</v>
      </c>
      <c r="M101" s="295" t="s">
        <v>4</v>
      </c>
      <c r="N101" s="337">
        <f>CHAR55!E128</f>
        <v>181669.05</v>
      </c>
    </row>
    <row r="102" spans="2:14" ht="12.75">
      <c r="B102" s="312">
        <v>2</v>
      </c>
      <c r="C102" s="84" t="s">
        <v>441</v>
      </c>
      <c r="J102" s="339"/>
      <c r="K102" s="295" t="s">
        <v>4</v>
      </c>
      <c r="L102" s="332">
        <f>L101*0.018</f>
        <v>12218.75</v>
      </c>
      <c r="M102" s="295" t="s">
        <v>4</v>
      </c>
      <c r="N102" s="332">
        <f>N101*0.018</f>
        <v>3270.04</v>
      </c>
    </row>
    <row r="103" spans="1:19" ht="15">
      <c r="A103" s="335"/>
      <c r="B103" s="333"/>
      <c r="C103" s="333"/>
      <c r="D103" s="333"/>
      <c r="E103" s="333"/>
      <c r="F103" s="333"/>
      <c r="G103" s="333"/>
      <c r="H103" s="333"/>
      <c r="I103" s="333"/>
      <c r="J103" s="333"/>
      <c r="K103" s="333"/>
      <c r="L103" s="333"/>
      <c r="N103" s="334"/>
      <c r="O103" s="334"/>
      <c r="S103" s="336"/>
    </row>
    <row r="104" spans="2:23" ht="12.75">
      <c r="B104" s="312"/>
      <c r="C104" s="295"/>
      <c r="D104" s="295"/>
      <c r="E104" s="295"/>
      <c r="F104" s="295"/>
      <c r="N104" s="339"/>
      <c r="W104" s="336"/>
    </row>
    <row r="105" spans="1:23" ht="12.75">
      <c r="A105" s="277" t="s">
        <v>465</v>
      </c>
      <c r="B105" s="277"/>
      <c r="C105" s="277"/>
      <c r="D105" s="277"/>
      <c r="E105" s="277"/>
      <c r="F105" s="277"/>
      <c r="G105" s="277"/>
      <c r="H105" s="277"/>
      <c r="I105" s="277"/>
      <c r="J105" s="277"/>
      <c r="K105" s="277"/>
      <c r="L105" s="277"/>
      <c r="N105" s="339"/>
      <c r="W105" s="336"/>
    </row>
    <row r="106" spans="1:23" ht="12.75" customHeight="1">
      <c r="A106" s="701" t="s">
        <v>446</v>
      </c>
      <c r="B106" s="701"/>
      <c r="C106" s="701"/>
      <c r="D106" s="701"/>
      <c r="E106" s="701"/>
      <c r="F106" s="701"/>
      <c r="G106" s="701"/>
      <c r="H106" s="701"/>
      <c r="I106" s="701"/>
      <c r="J106" s="701"/>
      <c r="K106" s="701"/>
      <c r="L106" s="701"/>
      <c r="M106" s="701"/>
      <c r="N106" s="701"/>
      <c r="O106" s="701"/>
      <c r="W106" s="336"/>
    </row>
    <row r="107" spans="1:23" ht="12.75" customHeight="1">
      <c r="A107" s="701"/>
      <c r="B107" s="701"/>
      <c r="C107" s="701"/>
      <c r="D107" s="701"/>
      <c r="E107" s="701"/>
      <c r="F107" s="701"/>
      <c r="G107" s="701"/>
      <c r="H107" s="701"/>
      <c r="I107" s="701"/>
      <c r="J107" s="701"/>
      <c r="K107" s="701"/>
      <c r="L107" s="701"/>
      <c r="M107" s="701"/>
      <c r="N107" s="701"/>
      <c r="O107" s="701"/>
      <c r="W107" s="336"/>
    </row>
    <row r="108" spans="1:23" ht="12.75" customHeight="1">
      <c r="A108" s="701"/>
      <c r="B108" s="701"/>
      <c r="C108" s="701"/>
      <c r="D108" s="701"/>
      <c r="E108" s="701"/>
      <c r="F108" s="701"/>
      <c r="G108" s="701"/>
      <c r="H108" s="701"/>
      <c r="I108" s="701"/>
      <c r="J108" s="701"/>
      <c r="K108" s="701"/>
      <c r="L108" s="701"/>
      <c r="M108" s="701"/>
      <c r="N108" s="701"/>
      <c r="O108" s="701"/>
      <c r="W108" s="336"/>
    </row>
    <row r="109" spans="1:23" ht="12.75" customHeight="1">
      <c r="A109" s="701"/>
      <c r="B109" s="701"/>
      <c r="C109" s="701"/>
      <c r="D109" s="701"/>
      <c r="E109" s="701"/>
      <c r="F109" s="701"/>
      <c r="G109" s="701"/>
      <c r="H109" s="701"/>
      <c r="I109" s="701"/>
      <c r="J109" s="701"/>
      <c r="K109" s="701"/>
      <c r="L109" s="701"/>
      <c r="M109" s="701"/>
      <c r="N109" s="701"/>
      <c r="O109" s="701"/>
      <c r="W109" s="336"/>
    </row>
    <row r="110" spans="1:23" ht="12.75">
      <c r="A110" s="279"/>
      <c r="B110" s="279"/>
      <c r="C110" s="279"/>
      <c r="D110" s="279"/>
      <c r="E110" s="279"/>
      <c r="F110" s="279"/>
      <c r="G110" s="279"/>
      <c r="H110" s="279"/>
      <c r="I110" s="279"/>
      <c r="J110" s="279"/>
      <c r="K110" s="279"/>
      <c r="L110" s="279"/>
      <c r="N110" s="339"/>
      <c r="W110" s="336"/>
    </row>
    <row r="111" spans="2:25" ht="12.75">
      <c r="B111" s="421">
        <v>1</v>
      </c>
      <c r="C111" s="84" t="s">
        <v>418</v>
      </c>
      <c r="D111" s="295"/>
      <c r="E111" s="295"/>
      <c r="F111" s="295"/>
      <c r="M111" s="440" t="s">
        <v>4</v>
      </c>
      <c r="N111" s="438">
        <f>50000000*'Data Entry'!N76</f>
        <v>20000</v>
      </c>
      <c r="T111" s="340"/>
      <c r="X111" s="696"/>
      <c r="Y111" s="696"/>
    </row>
    <row r="112" spans="2:14" ht="12.75">
      <c r="B112" s="312"/>
      <c r="C112" s="295"/>
      <c r="D112" s="295"/>
      <c r="E112" s="295"/>
      <c r="F112" s="295"/>
      <c r="N112" s="339"/>
    </row>
    <row r="114" ht="12.75">
      <c r="A114" s="277" t="s">
        <v>535</v>
      </c>
    </row>
    <row r="115" spans="2:14" ht="12.75">
      <c r="B115" s="421">
        <v>1</v>
      </c>
      <c r="C115" s="84" t="s">
        <v>531</v>
      </c>
      <c r="M115" s="440" t="s">
        <v>4</v>
      </c>
      <c r="N115" s="438">
        <f>CHAR55!C135</f>
        <v>3533050.97</v>
      </c>
    </row>
    <row r="116" spans="2:14" ht="12.75">
      <c r="B116" s="421">
        <v>2</v>
      </c>
      <c r="C116" s="84" t="s">
        <v>401</v>
      </c>
      <c r="M116" s="440" t="s">
        <v>4</v>
      </c>
      <c r="N116" s="438">
        <f>N72</f>
        <v>346714.47</v>
      </c>
    </row>
    <row r="117" spans="2:14" ht="12.75">
      <c r="B117" s="312">
        <v>3</v>
      </c>
      <c r="C117" s="84" t="s">
        <v>406</v>
      </c>
      <c r="M117" s="344" t="s">
        <v>4</v>
      </c>
      <c r="N117" s="438">
        <f>N115-N116</f>
        <v>3186336.5</v>
      </c>
    </row>
  </sheetData>
  <sheetProtection formatCells="0" formatColumns="0" formatRows="0"/>
  <mergeCells count="12">
    <mergeCell ref="B76:O81"/>
    <mergeCell ref="L1:M1"/>
    <mergeCell ref="X111:Y111"/>
    <mergeCell ref="P92:R93"/>
    <mergeCell ref="A97:O98"/>
    <mergeCell ref="A1:D1"/>
    <mergeCell ref="E1:G1"/>
    <mergeCell ref="J1:K1"/>
    <mergeCell ref="A106:O109"/>
    <mergeCell ref="B83:G83"/>
    <mergeCell ref="B90:G91"/>
    <mergeCell ref="T75:AE75"/>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Greer, Patric</cp:lastModifiedBy>
  <cp:lastPrinted>2019-06-24T23:55:45Z</cp:lastPrinted>
  <dcterms:created xsi:type="dcterms:W3CDTF">1997-10-08T16:25:08Z</dcterms:created>
  <dcterms:modified xsi:type="dcterms:W3CDTF">2019-06-25T00:02:08Z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