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activeTab="1"/>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<sst xmlns="http://schemas.openxmlformats.org/spreadsheetml/2006/main" count="1129" uniqueCount="575">
  <si>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</si>
  <si>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</si>
  <si>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</si>
  <si>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</si>
  <si>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</si>
  <si>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</si>
  <si>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</si>
  <si>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</si>
  <si>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</si>
  <si>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</si>
  <si>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</si>
  <si>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</si>
  <si>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</si>
  <si>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</si>
  <si>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</si>
  <si>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</si>
  <si>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</si>
  <si>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</si>
  <si>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</si>
  <si>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</si>
  <si>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</si>
  <si>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</si>
  <si>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</si>
  <si>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</si>
  <si>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</si>
  <si>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</si>
  <si>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</si>
  <si>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</si>
  <si>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</si>
  <si>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</si>
  <si>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</si>
  <si>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</si>
  <si>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</si>
  <si>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</si>
  <si>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</si>
  <si>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</si>
  <si>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</si>
  <si>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</si>
  <si>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</si>
  <si>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</si>
  <si>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</si>
  <si>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</si>
  <si>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</si>
  <si>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</si>
  <si>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</si>
  <si>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</si>
  <si>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</si>
  <si>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</si>
  <si>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</si>
  <si>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</si>
  <si>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</si>
  <si>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</si>
  <si>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</si>
  <si>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</si>
  <si>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</si>
  <si>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</si>
  <si>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</si>
  <si>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</si>
  <si>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</si>
  <si>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</si>
  <si>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</si>
  <si>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</si>
  <si>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</si>
  <si>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</si>
  <si>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</si>
  <si>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</si>
  <si>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</si>
  <si>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</si>
  <si>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</si>
  <si>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</si>
  <si>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</si>
  <si>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</si>
  <si>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</si>
  <si>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</si>
  <si>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</si>
  <si>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</si>
  <si>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</si>
  <si>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</si>
  <si>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</si>
  <si>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</si>
  <si>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</si>
  <si>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</si>
  <si>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</si>
  <si>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</si>
  <si>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</si>
  <si>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</si>
  <si>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</si>
  <si>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</si>
  <si>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</si>
  <si>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</si>
  <si>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</si>
  <si>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</si>
  <si>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</si>
  <si>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</si>
  <si>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</si>
  <si>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</si>
  <si>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</si>
  <si>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</si>
  <si>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</si>
  <si>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</si>
  <si>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</si>
  <si>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</si>
  <si>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</si>
  <si>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</si>
  <si>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</si>
  <si>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</si>
  <si>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</si>
  <si>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</si>
  <si>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</si>
  <si>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</si>
  <si>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</si>
  <si>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</si>
  <si>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</si>
  <si>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</si>
  <si>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</si>
  <si>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</si>
  <si>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</si>
  <si>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</si>
  <si>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</si>
  <si>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</si>
  <si>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</si>
  <si>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</si>
  <si>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</si>
  <si>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</si>
  <si>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</si>
  <si>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</si>
  <si>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</si>
  <si>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</si>
  <si>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</si>
  <si>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</si>
  <si>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</si>
  <si>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</si>
  <si>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</si>
  <si>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</si>
  <si>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</si>
  <si>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</si>
  <si>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</si>
  <si>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</si>
  <si>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</si>
  <si>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</si>
  <si>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</si>
  <si>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</si>
  <si>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</si>
  <si>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</si>
  <si>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</si>
  <si>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</si>
  <si>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</si>
  <si>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</si>
  <si>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</si>
  <si>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</si>
  <si>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</si>
  <si>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</si>
  <si>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</si>
  <si>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</si>
  <si>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</si>
  <si>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</si>
  <si>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</si>
  <si>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</si>
  <si>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</si>
  <si>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</si>
  <si>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</si>
  <si>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</si>
  <si>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</si>
  <si>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</si>
  <si>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</si>
  <si>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</si>
  <si>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</si>
  <si>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</si>
  <si>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</si>
  <si>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</si>
  <si>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</si>
  <si>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</si>
  <si>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</si>
  <si>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</si>
  <si>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</si>
  <si>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</si>
  <si>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</si>
  <si>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</si>
  <si>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</si>
  <si>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</si>
  <si>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</si>
  <si>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</si>
  <si>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</si>
  <si>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</si>
  <si>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</si>
  <si>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</si>
  <si>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</si>
  <si>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</si>
  <si>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</si>
  <si>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</si>
  <si>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</si>
  <si>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</si>
  <si>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</si>
  <si>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</si>
  <si>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</si>
  <si>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</si>
  <si>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</si>
  <si>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</si>
  <si>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</si>
  <si>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</si>
  <si>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</si>
  <si>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</si>
  <si>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</si>
  <si>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</si>
  <si>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</si>
  <si>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</si>
  <si>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</si>
  <si>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</si>
  <si>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</si>
  <si>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</si>
  <si>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</si>
  <si>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</si>
  <si>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</si>
  <si>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</si>
  <si>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</si>
  <si>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</si>
  <si>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</si>
  <si>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</si>
  <si>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</si>
  <si>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</si>
  <si>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</si>
  <si>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</si>
  <si>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</si>
  <si>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</si>
  <si>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</si>
  <si>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</si>
  <si>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</si>
  <si>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</si>
  <si>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</si>
  <si>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</si>
  <si>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</si>
  <si>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</si>
  <si>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</si>
  <si>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</si>
  <si>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</si>
  <si>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</si>
  <si>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</si>
  <si>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</si>
  <si>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</si>
  <si>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</si>
  <si>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</si>
  <si>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</si>
  <si>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</si>
  <si>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</si>
  <si>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</si>
  <si>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</si>
  <si>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</si>
  <si>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</si>
  <si>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</si>
  <si>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</si>
  <si>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</si>
  <si>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</si>
  <si>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</si>
  <si>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</si>
  <si>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</si>
  <si>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</si>
  <si>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</si>
  <si>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</si>
  <si>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</si>
  <si>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</si>
  <si>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</si>
  <si>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</si>
  <si>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</si>
  <si>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</si>
  <si>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</si>
  <si>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</si>
  <si>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</si>
  <si>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</si>
  <si>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</si>
  <si>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</si>
  <si>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</si>
  <si>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</si>
  <si>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</si>
  <si>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</si>
  <si>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</si>
  <si>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</si>
  <si>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</si>
  <si>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</si>
  <si>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</si>
  <si>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</si>
  <si>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</si>
  <si>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</si>
  <si>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</si>
  <si>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</si>
  <si>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</si>
  <si>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</si>
  <si>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</si>
  <si>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</si>
  <si>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</si>
  <si>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</si>
  <si>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</si>
  <si>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</si>
  <si>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</si>
  <si>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</si>
  <si>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</si>
  <si>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</si>
  <si>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</si>
  <si>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</si>
  <si>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</si>
  <si>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</si>
  <si>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</si>
  <si>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</si>
  <si>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</si>
  <si>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</si>
  <si>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</si>
  <si>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</si>
  <si>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</si>
  <si>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</si>
  <si>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</si>
  <si>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</si>
  <si>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</si>
  <si>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</si>
  <si>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</si>
  <si>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</si>
  <si>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</si>
  <si>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</si>
  <si>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</si>
  <si>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</si>
  <si>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</si>
  <si>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</si>
  <si>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</si>
  <si>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</si>
  <si>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</si>
  <si>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</si>
  <si>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</si>
  <si>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</si>
  <si>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</si>
  <si>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</si>
  <si>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</si>
  <si>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</si>
  <si>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</si>
  <si>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</si>
  <si>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</si>
  <si>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</si>
  <si>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</si>
  <si>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</si>
  <si>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</si>
  <si>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</si>
  <si>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</si>
  <si>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</si>
  <si>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</si>
  <si>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</si>
  <si>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</si>
  <si>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</si>
  <si>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</si>
  <si>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</si>
  <si>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</si>
  <si>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</si>
  <si>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</si>
  <si>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</si>
  <si>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</si>
  <si>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</si>
  <si>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</si>
  <si>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</si>
  <si>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</si>
  <si>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</si>
  <si>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</si>
  <si>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</si>
  <si>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</si>
  <si>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</si>
  <si>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</si>
  <si>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</si>
  <si>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</si>
  <si>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</si>
  <si>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</si>
  <si>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</si>
  <si>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</si>
  <si>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</si>
  <si>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</si>
  <si>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</si>
  <si>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</si>
  <si>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</si>
  <si>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</si>
  <si>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</si>
  <si>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</si>
  <si>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</si>
  <si>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</si>
  <si>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</si>
  <si>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</si>
  <si>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</si>
  <si>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</si>
  <si>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</si>
  <si>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</si>
  <si>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</si>
  <si>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</si>
  <si>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</si>
  <si>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</si>
  <si>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</si>
  <si>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</si>
  <si>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</si>
  <si>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</si>
  <si>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</si>
  <si>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</si>
  <si>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</si>
  <si>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</si>
  <si>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</si>
  <si>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</si>
  <si>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</si>
  <si>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</si>
  <si>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</si>
  <si>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</si>
  <si>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</si>
  <si>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</si>
  <si>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</si>
  <si>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</si>
  <si>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</si>
  <si>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</si>
  <si>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</si>
  <si>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</si>
  <si>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</si>
  <si>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</si>
  <si>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</si>
  <si>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</si>
  <si>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</si>
  <si>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</si>
  <si>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</si>
  <si>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</si>
  <si>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</si>
  <si>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</si>
  <si>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</si>
  <si>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</si>
  <si>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</si>
  <si>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</si>
  <si>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</si>
  <si>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</si>
  <si>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</si>
  <si>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</si>
  <si>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</si>
  <si>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</si>
  <si>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</si>
  <si>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</si>
  <si>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</si>
  <si>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</si>
  <si>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</si>
  <si>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</si>
  <si>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</si>
  <si>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</si>
  <si>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</si>
  <si>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</si>
  <si>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</si>
  <si>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</si>
  <si>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</si>
  <si>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</si>
  <si>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</si>
  <si>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</si>
  <si>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</si>
  <si>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</si>
  <si>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</si>
  <si>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</si>
  <si>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</si>
  <si>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</si>
  <si>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</si>
  <si>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</si>
  <si>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</si>
  <si>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</si>
  <si>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</si>
  <si>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</si>
  <si>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</si>
  <si>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</si>
  <si>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</si>
  <si>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</si>
  <si>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</si>
  <si>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</si>
  <si>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</si>
  <si>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</si>
  <si>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</si>
  <si>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</si>
  <si>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</si>
  <si>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</si>
  <si>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</si>
  <si>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</si>
  <si>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</si>
  <si>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</si>
  <si>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</si>
  <si>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</si>
  <si>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</si>
  <si>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</si>
  <si>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</si>
  <si>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</si>
  <si>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</si>
  <si>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</si>
  <si>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</si>
  <si>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</si>
  <si>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</si>
  <si>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</si>
  <si>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</si>
  <si>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</si>
  <si>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</si>
  <si>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</si>
  <si>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</si>
  <si>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</si>
  <si>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</si>
  <si>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</si>
  <si>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</si>
  <si>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</si>
  <si>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</si>
  <si>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</si>
  <si>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</si>
  <si>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</si>
  <si>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</si>
  <si>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</si>
  <si>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</si>
  <si>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</si>
  <si>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</si>
  <si>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</si>
  <si>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</si>
  <si>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</si>
  <si>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</si>
  <si>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</si>
  <si>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</si>
  <si>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</si>
  <si>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</si>
  <si>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</si>
  <si>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</si>
  <si>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</si>
  <si>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</si>
  <si>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</si>
  <si>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</si>
  <si>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</si>
  <si>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</si>
  <si>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</si>
  <si>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</si>
  <si>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</si>
  <si>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</si>
  <si>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</si>
  <si>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</si>
  <si>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</si>
  <si>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</si>
  <si>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</si>
  <si>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</si>
  <si>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</si>
  <si>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</si>
  <si>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</si>
  <si>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</si>
  <si>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Pima Prevention Partnership</t>
  </si>
  <si>
    <t>PIMA</t>
  </si>
  <si>
    <t>108507000</t>
  </si>
  <si>
    <t>ACHS</t>
  </si>
  <si>
    <t>Rcook@copecommunityservices.org</t>
  </si>
  <si>
    <t>Rodney Cook</t>
  </si>
  <si>
    <t xml:space="preserve">Mr. </t>
  </si>
  <si>
    <t xml:space="preserve">Rodney </t>
  </si>
  <si>
    <t>Cook</t>
  </si>
  <si>
    <t>Ian B.</t>
  </si>
  <si>
    <t>Kidd</t>
  </si>
  <si>
    <t>Ikidd@thepartnership.org</t>
  </si>
  <si>
    <t xml:space="preserve">Christina </t>
  </si>
  <si>
    <t>Anaya-Silva</t>
  </si>
  <si>
    <t>canayasilva@copecommunityservices.org</t>
  </si>
  <si>
    <t>Claudina</t>
  </si>
  <si>
    <t>Douglas</t>
  </si>
  <si>
    <t>Cdouglas@adibiz.com</t>
  </si>
  <si>
    <t>Lupita</t>
  </si>
  <si>
    <t>Garcia</t>
  </si>
  <si>
    <t>Lgarcia@thepartnership.org</t>
  </si>
  <si>
    <t>Dolly</t>
  </si>
  <si>
    <t>Fernandes</t>
  </si>
  <si>
    <t>Dfernandes@thepartnership.org</t>
  </si>
  <si>
    <t>Margaret</t>
  </si>
  <si>
    <t>Higgins,Ph.D.</t>
  </si>
  <si>
    <t>Margarethiggins@thehaventucson.org</t>
  </si>
  <si>
    <t>Joe</t>
  </si>
  <si>
    <t xml:space="preserve">Higgins </t>
  </si>
  <si>
    <t>joe@joehigginsinc.com</t>
  </si>
  <si>
    <t>Khalid</t>
  </si>
  <si>
    <t>Al-Maskari</t>
  </si>
  <si>
    <t>khalid@hmsfirst.com</t>
  </si>
  <si>
    <t>Richard</t>
  </si>
  <si>
    <t>Paige</t>
  </si>
  <si>
    <t>1richard.paige@gmail.com</t>
  </si>
  <si>
    <t>http://www.thepartnership.us/arizona-collegiate/</t>
  </si>
  <si>
    <t>ikidd@thepartnership.us</t>
  </si>
  <si>
    <t xml:space="preserve">Ian Kidd </t>
  </si>
  <si>
    <t>Ian Kidd</t>
  </si>
  <si>
    <t>Comments on average salary calculation (optional):   These salaries do not include Prop 301 Performance and/or stipends.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</si>
</sst>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1">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8" fillId="0" borderId="14" xfId="53" applyFont="1" applyBorder="1" applyAlignment="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Font="1" applyBorder="1" applyAlignment="1">
      <alignment/>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6" fillId="0" borderId="24" xfId="53"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419100</xdr:colOff>
      <xdr:row>3</xdr:row>
      <xdr:rowOff>342900</xdr:rowOff>
    </xdr:to>
    <xdr:sp>
      <xdr:nvSpPr>
        <xdr:cNvPr id="1" name="Rectangle 7">
          <a:hlinkClick r:id="rId1"/>
        </xdr:cNvPr>
        <xdr:cNvSpPr>
          <a:spLocks/>
        </xdr:cNvSpPr>
      </xdr:nvSpPr>
      <xdr:spPr>
        <a:xfrm>
          <a:off x="95250" y="419100"/>
          <a:ext cx="154305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3362325</xdr:colOff>
      <xdr:row>5</xdr:row>
      <xdr:rowOff>38100</xdr:rowOff>
    </xdr:to>
    <xdr:sp>
      <xdr:nvSpPr>
        <xdr:cNvPr id="1" name="Rectangle 5">
          <a:hlinkClick r:id="rId1"/>
        </xdr:cNvPr>
        <xdr:cNvSpPr>
          <a:spLocks/>
        </xdr:cNvSpPr>
      </xdr:nvSpPr>
      <xdr:spPr>
        <a:xfrm>
          <a:off x="3457575" y="400050"/>
          <a:ext cx="1104900"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1559737</v>
          </cell>
        </row>
      </sheetData>
      <sheetData sheetId="2">
        <row r="8">
          <cell r="L8">
            <v>332802</v>
          </cell>
        </row>
        <row r="10">
          <cell r="L10">
            <v>91291</v>
          </cell>
        </row>
        <row r="11">
          <cell r="L11">
            <v>28569</v>
          </cell>
        </row>
        <row r="12">
          <cell r="L12">
            <v>1000</v>
          </cell>
        </row>
        <row r="13">
          <cell r="L13">
            <v>120101</v>
          </cell>
        </row>
        <row r="14">
          <cell r="L14">
            <v>73342</v>
          </cell>
        </row>
        <row r="15">
          <cell r="L15">
            <v>263790</v>
          </cell>
        </row>
        <row r="16">
          <cell r="L16">
            <v>0</v>
          </cell>
        </row>
        <row r="17">
          <cell r="L17">
            <v>76630</v>
          </cell>
        </row>
        <row r="18">
          <cell r="L18">
            <v>0</v>
          </cell>
        </row>
        <row r="19">
          <cell r="L19">
            <v>0</v>
          </cell>
        </row>
        <row r="20">
          <cell r="L20">
            <v>17000</v>
          </cell>
        </row>
        <row r="21">
          <cell r="L21">
            <v>0</v>
          </cell>
        </row>
        <row r="22">
          <cell r="L22">
            <v>0</v>
          </cell>
        </row>
        <row r="25">
          <cell r="L25">
            <v>21000</v>
          </cell>
        </row>
        <row r="27">
          <cell r="L27">
            <v>26183</v>
          </cell>
        </row>
        <row r="28">
          <cell r="L28">
            <v>3000</v>
          </cell>
        </row>
        <row r="29">
          <cell r="L29">
            <v>0</v>
          </cell>
        </row>
        <row r="30">
          <cell r="L30">
            <v>11500</v>
          </cell>
        </row>
        <row r="31">
          <cell r="L31">
            <v>16145</v>
          </cell>
        </row>
        <row r="32">
          <cell r="L32">
            <v>35000</v>
          </cell>
        </row>
        <row r="33">
          <cell r="L33">
            <v>0</v>
          </cell>
        </row>
        <row r="34">
          <cell r="L34">
            <v>0</v>
          </cell>
        </row>
        <row r="35">
          <cell r="L35">
            <v>0</v>
          </cell>
        </row>
        <row r="36">
          <cell r="L36">
            <v>0</v>
          </cell>
        </row>
        <row r="39">
          <cell r="L39">
            <v>80000</v>
          </cell>
        </row>
        <row r="40">
          <cell r="L40">
            <v>0</v>
          </cell>
        </row>
        <row r="41">
          <cell r="L41">
            <v>0</v>
          </cell>
        </row>
        <row r="42">
          <cell r="L42">
            <v>0</v>
          </cell>
        </row>
        <row r="44">
          <cell r="L44">
            <v>108297</v>
          </cell>
        </row>
        <row r="45">
          <cell r="L45">
            <v>10066</v>
          </cell>
        </row>
        <row r="46">
          <cell r="L46">
            <v>0</v>
          </cell>
        </row>
        <row r="47">
          <cell r="L47">
            <v>0</v>
          </cell>
        </row>
        <row r="48">
          <cell r="L48">
            <v>189635</v>
          </cell>
        </row>
      </sheetData>
      <sheetData sheetId="3">
        <row r="5">
          <cell r="E5">
            <v>143771</v>
          </cell>
          <cell r="N5">
            <v>112828</v>
          </cell>
        </row>
        <row r="6">
          <cell r="E6">
            <v>4651</v>
          </cell>
        </row>
        <row r="7">
          <cell r="E7">
            <v>10000</v>
          </cell>
        </row>
        <row r="9">
          <cell r="E9">
            <v>3569</v>
          </cell>
        </row>
        <row r="12">
          <cell r="E12">
            <v>27644</v>
          </cell>
        </row>
        <row r="20">
          <cell r="N20">
            <v>10066</v>
          </cell>
        </row>
      </sheetData>
      <sheetData sheetId="4">
        <row r="9">
          <cell r="K9">
            <v>21261</v>
          </cell>
        </row>
        <row r="10">
          <cell r="K10">
            <v>0</v>
          </cell>
        </row>
        <row r="11">
          <cell r="K11">
            <v>0</v>
          </cell>
        </row>
        <row r="14">
          <cell r="K14">
            <v>0</v>
          </cell>
        </row>
        <row r="15">
          <cell r="K15">
            <v>0</v>
          </cell>
        </row>
        <row r="16">
          <cell r="K16">
            <v>0</v>
          </cell>
        </row>
        <row r="19">
          <cell r="K19">
            <v>0</v>
          </cell>
        </row>
        <row r="20">
          <cell r="K20">
            <v>0</v>
          </cell>
        </row>
        <row r="21">
          <cell r="K21">
            <v>0</v>
          </cell>
        </row>
        <row r="26">
          <cell r="K26">
            <v>43186</v>
          </cell>
        </row>
        <row r="27">
          <cell r="K27">
            <v>0</v>
          </cell>
        </row>
        <row r="28">
          <cell r="K28">
            <v>0</v>
          </cell>
        </row>
        <row r="31">
          <cell r="K31">
            <v>0</v>
          </cell>
        </row>
        <row r="32">
          <cell r="K32">
            <v>0</v>
          </cell>
        </row>
        <row r="33">
          <cell r="K33">
            <v>0</v>
          </cell>
        </row>
        <row r="36">
          <cell r="K36">
            <v>0</v>
          </cell>
        </row>
        <row r="37">
          <cell r="K37">
            <v>0</v>
          </cell>
        </row>
        <row r="38">
          <cell r="K38">
            <v>0</v>
          </cell>
        </row>
        <row r="43">
          <cell r="K43">
            <v>43850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kidd@thepartnership.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A22">
      <selection activeCell="L4" sqref="L4:R4"/>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4" t="s">
        <v>0</v>
      </c>
      <c r="B1" s="554"/>
      <c r="C1" s="554"/>
      <c r="D1" s="543" t="s">
        <v>534</v>
      </c>
      <c r="E1" s="544"/>
      <c r="F1" s="544"/>
      <c r="G1" s="544"/>
      <c r="H1" s="544"/>
      <c r="I1" s="544"/>
      <c r="L1" s="32" t="s">
        <v>1</v>
      </c>
      <c r="M1" s="548" t="s">
        <v>535</v>
      </c>
      <c r="N1" s="549"/>
      <c r="O1" s="546" t="s">
        <v>89</v>
      </c>
      <c r="P1" s="546"/>
      <c r="Q1" s="546"/>
      <c r="R1" s="200" t="s">
        <v>536</v>
      </c>
    </row>
    <row r="2" spans="4:18" ht="12.75" customHeight="1">
      <c r="D2" s="534" t="s">
        <v>87</v>
      </c>
      <c r="E2" s="534"/>
      <c r="F2" s="534"/>
      <c r="G2" s="534"/>
      <c r="H2" s="534"/>
      <c r="I2" s="534"/>
      <c r="M2" s="29"/>
      <c r="Q2" s="29"/>
      <c r="R2" s="30"/>
    </row>
    <row r="3" spans="4:18" ht="12.75" customHeight="1">
      <c r="D3" s="539" t="s">
        <v>537</v>
      </c>
      <c r="E3" s="540"/>
      <c r="F3" s="540"/>
      <c r="G3" s="540"/>
      <c r="H3" s="540"/>
      <c r="I3" s="540"/>
      <c r="M3" s="29"/>
      <c r="Q3" s="29"/>
      <c r="R3" s="30"/>
    </row>
    <row r="4" spans="4:18" ht="12.75" customHeight="1">
      <c r="D4" s="534" t="s">
        <v>88</v>
      </c>
      <c r="E4" s="534"/>
      <c r="F4" s="534"/>
      <c r="G4" s="534"/>
      <c r="H4" s="534"/>
      <c r="I4" s="534"/>
      <c r="L4" s="556"/>
      <c r="M4" s="556"/>
      <c r="N4" s="556"/>
      <c r="O4" s="556"/>
      <c r="P4" s="556"/>
      <c r="Q4" s="556"/>
      <c r="R4" s="556"/>
    </row>
    <row r="5" spans="12:18" ht="12.75" customHeight="1">
      <c r="L5" s="556">
        <f>IF('Charter Contact Info'!C24="","Please enter a SIS Vendor on the Charter Contact Info Tab","")</f>
      </c>
      <c r="M5" s="556"/>
      <c r="N5" s="556"/>
      <c r="O5" s="556"/>
      <c r="P5" s="556"/>
      <c r="Q5" s="556"/>
      <c r="R5" s="556"/>
    </row>
    <row r="6" spans="1:18" ht="18" customHeight="1">
      <c r="A6" s="29"/>
      <c r="B6" s="562" t="s">
        <v>454</v>
      </c>
      <c r="C6" s="562"/>
      <c r="D6" s="562"/>
      <c r="E6" s="562"/>
      <c r="F6" s="562"/>
      <c r="G6" s="562"/>
      <c r="H6" s="562"/>
      <c r="I6" s="562"/>
      <c r="J6" s="33"/>
      <c r="K6" s="35" t="s">
        <v>43</v>
      </c>
      <c r="L6" s="573" t="s">
        <v>484</v>
      </c>
      <c r="M6" s="573"/>
      <c r="N6" s="573"/>
      <c r="O6" s="573"/>
      <c r="P6" s="573"/>
      <c r="Q6" s="36" t="s">
        <v>4</v>
      </c>
      <c r="R6" s="486">
        <f>'[1]Cover'!$R$13</f>
        <v>1559737</v>
      </c>
    </row>
    <row r="7" spans="1:18" ht="12.75">
      <c r="A7" s="29"/>
      <c r="B7" s="29"/>
      <c r="C7" s="29"/>
      <c r="D7" s="29"/>
      <c r="E7" s="29"/>
      <c r="F7" s="29"/>
      <c r="G7" s="29"/>
      <c r="J7" s="33"/>
      <c r="K7" s="35"/>
      <c r="L7" s="573"/>
      <c r="M7" s="574"/>
      <c r="N7" s="574"/>
      <c r="O7" s="574"/>
      <c r="P7" s="574"/>
      <c r="Q7" s="36"/>
      <c r="R7" s="259"/>
    </row>
    <row r="8" spans="1:18" ht="18" customHeight="1">
      <c r="A8" s="29"/>
      <c r="B8" s="562" t="s">
        <v>2</v>
      </c>
      <c r="C8" s="562"/>
      <c r="D8" s="562"/>
      <c r="E8" s="562"/>
      <c r="F8" s="562"/>
      <c r="G8" s="562"/>
      <c r="H8" s="562"/>
      <c r="I8" s="562"/>
      <c r="J8" s="34"/>
      <c r="K8" s="35" t="s">
        <v>44</v>
      </c>
      <c r="L8" s="527" t="s">
        <v>485</v>
      </c>
      <c r="M8" s="527"/>
      <c r="N8" s="527"/>
      <c r="O8" s="527"/>
      <c r="P8" s="527"/>
      <c r="Q8" s="527"/>
      <c r="R8" s="259"/>
    </row>
    <row r="9" spans="1:18" ht="12.75">
      <c r="A9" s="29"/>
      <c r="B9" s="29"/>
      <c r="C9" s="29"/>
      <c r="D9" s="29"/>
      <c r="E9" s="29"/>
      <c r="F9" s="29"/>
      <c r="G9" s="29"/>
      <c r="J9" s="33"/>
      <c r="L9" s="29"/>
      <c r="M9" s="29"/>
      <c r="N9" s="29"/>
      <c r="O9" t="s">
        <v>5</v>
      </c>
      <c r="P9" s="38" t="s">
        <v>6</v>
      </c>
      <c r="Q9" s="39" t="s">
        <v>4</v>
      </c>
      <c r="R9" s="37">
        <v>6000</v>
      </c>
    </row>
    <row r="10" spans="1:18" ht="12.75" customHeight="1">
      <c r="A10" s="29"/>
      <c r="B10" s="563" t="s">
        <v>3</v>
      </c>
      <c r="C10" s="563"/>
      <c r="D10" s="563"/>
      <c r="E10" s="563"/>
      <c r="F10" s="563"/>
      <c r="G10" s="563"/>
      <c r="H10" s="563"/>
      <c r="I10" s="563"/>
      <c r="J10" s="547"/>
      <c r="K10" s="35"/>
      <c r="L10" s="256"/>
      <c r="M10" s="256"/>
      <c r="N10" s="256"/>
      <c r="O10" t="s">
        <v>8</v>
      </c>
      <c r="P10" s="38" t="s">
        <v>9</v>
      </c>
      <c r="Q10" s="39" t="s">
        <v>4</v>
      </c>
      <c r="R10" s="37"/>
    </row>
    <row r="11" spans="1:18" ht="12.75" customHeight="1">
      <c r="A11" s="29"/>
      <c r="B11" s="563"/>
      <c r="C11" s="563"/>
      <c r="D11" s="563"/>
      <c r="E11" s="563"/>
      <c r="F11" s="563"/>
      <c r="G11" s="563"/>
      <c r="H11" s="563"/>
      <c r="I11" s="563"/>
      <c r="J11" s="547"/>
      <c r="O11" t="s">
        <v>7</v>
      </c>
      <c r="P11" s="38" t="s">
        <v>68</v>
      </c>
      <c r="Q11" s="39" t="s">
        <v>4</v>
      </c>
      <c r="R11" s="40">
        <v>1584346</v>
      </c>
    </row>
    <row r="12" spans="1:18" ht="12.75" customHeight="1">
      <c r="A12" s="29"/>
      <c r="B12" s="29"/>
      <c r="C12" s="29"/>
      <c r="D12" s="540" t="s">
        <v>81</v>
      </c>
      <c r="E12" s="540"/>
      <c r="F12" s="540"/>
      <c r="G12" s="540"/>
      <c r="H12" s="540"/>
      <c r="J12" s="33"/>
      <c r="O12" t="s">
        <v>10</v>
      </c>
      <c r="P12" s="38" t="s">
        <v>69</v>
      </c>
      <c r="Q12" s="39" t="s">
        <v>4</v>
      </c>
      <c r="R12" s="40">
        <v>292574</v>
      </c>
    </row>
    <row r="13" spans="2:18" ht="12.75" customHeight="1">
      <c r="B13" s="558" t="s">
        <v>79</v>
      </c>
      <c r="C13" s="558"/>
      <c r="D13" s="559"/>
      <c r="E13" s="559"/>
      <c r="F13" s="559"/>
      <c r="G13" s="559"/>
      <c r="H13" s="559"/>
      <c r="I13" s="558"/>
      <c r="J13" s="33"/>
      <c r="O13" t="s">
        <v>45</v>
      </c>
      <c r="Q13" s="39" t="s">
        <v>4</v>
      </c>
      <c r="R13" s="41">
        <f>SUM(R9:R12)</f>
        <v>1882920</v>
      </c>
    </row>
    <row r="14" spans="10:18" ht="12.75" customHeight="1">
      <c r="J14" s="33"/>
      <c r="P14" s="38"/>
      <c r="Q14" s="39"/>
      <c r="R14" s="260"/>
    </row>
    <row r="15" spans="10:18" ht="12.75" customHeight="1">
      <c r="J15" s="33"/>
      <c r="L15" s="560" t="s">
        <v>138</v>
      </c>
      <c r="M15" s="560"/>
      <c r="N15" s="560"/>
      <c r="O15" s="550" t="s">
        <v>573</v>
      </c>
      <c r="P15" s="551"/>
      <c r="Q15" s="551"/>
      <c r="R15" s="551"/>
    </row>
    <row r="16" spans="1:18" ht="12.75" customHeight="1">
      <c r="A16" s="30"/>
      <c r="B16" s="541" t="s">
        <v>80</v>
      </c>
      <c r="C16" s="541"/>
      <c r="D16" s="541"/>
      <c r="E16" s="541"/>
      <c r="F16" s="541"/>
      <c r="G16" s="541"/>
      <c r="H16" s="541"/>
      <c r="I16" s="541"/>
      <c r="J16" s="33"/>
      <c r="L16" s="12" t="s">
        <v>136</v>
      </c>
      <c r="M16" s="561">
        <v>5203262528</v>
      </c>
      <c r="N16" s="561"/>
      <c r="O16" s="39" t="s">
        <v>137</v>
      </c>
      <c r="P16" s="552" t="s">
        <v>571</v>
      </c>
      <c r="Q16" s="553"/>
      <c r="R16" s="553"/>
    </row>
    <row r="17" spans="10:18" ht="12.75" customHeight="1">
      <c r="J17" s="33"/>
      <c r="P17" s="38"/>
      <c r="Q17" s="39"/>
      <c r="R17" s="260"/>
    </row>
    <row r="18" spans="10:18" ht="12.75" customHeight="1">
      <c r="J18" s="33"/>
      <c r="L18" s="545" t="s">
        <v>486</v>
      </c>
      <c r="M18" s="545"/>
      <c r="N18" s="545"/>
      <c r="O18" s="545"/>
      <c r="P18" s="545"/>
      <c r="Q18" s="545"/>
      <c r="R18" s="545"/>
    </row>
    <row r="19" spans="2:18" ht="12.75" customHeight="1">
      <c r="B19" s="542" t="s">
        <v>491</v>
      </c>
      <c r="C19" s="542"/>
      <c r="D19" s="542"/>
      <c r="E19" s="542"/>
      <c r="F19" s="542"/>
      <c r="G19" s="542"/>
      <c r="H19" s="542"/>
      <c r="I19" s="542"/>
      <c r="J19" s="33"/>
      <c r="L19" s="545" t="s">
        <v>330</v>
      </c>
      <c r="M19" s="545"/>
      <c r="N19" s="545"/>
      <c r="O19" s="545"/>
      <c r="P19" s="555">
        <v>43647</v>
      </c>
      <c r="Q19" s="555"/>
      <c r="R19" s="555"/>
    </row>
    <row r="20" spans="3:18" ht="12.75" customHeight="1">
      <c r="C20" s="536" t="s">
        <v>81</v>
      </c>
      <c r="D20" s="536"/>
      <c r="F20" s="555">
        <v>43641</v>
      </c>
      <c r="G20" s="555"/>
      <c r="H20" s="555"/>
      <c r="I20" s="272">
        <f>IF(AND(ISNUMBER(SEARCH("Proposed*",D12)),F20=""),"Please enter a Proposed Date","")</f>
      </c>
      <c r="J20" s="33"/>
      <c r="L20" s="529" t="s">
        <v>464</v>
      </c>
      <c r="M20" s="529"/>
      <c r="N20" s="529"/>
      <c r="O20" s="529"/>
      <c r="P20" s="557" t="s">
        <v>328</v>
      </c>
      <c r="Q20" s="557"/>
      <c r="R20" s="557"/>
    </row>
    <row r="21" spans="3:18" ht="12.75" customHeight="1">
      <c r="C21" s="536" t="s">
        <v>82</v>
      </c>
      <c r="D21" s="536"/>
      <c r="F21" s="535"/>
      <c r="G21" s="535"/>
      <c r="H21" s="535"/>
      <c r="I21" s="271">
        <f>IF(AND(ISNUMBER(SEARCH("Adopted*",D12)),F21=""),"Please enter an Adopted Date","")</f>
      </c>
      <c r="J21" s="33"/>
      <c r="L21" s="575"/>
      <c r="M21" s="576"/>
      <c r="N21" s="576"/>
      <c r="O21" s="576"/>
      <c r="P21" s="576"/>
      <c r="Q21" s="576"/>
      <c r="R21" s="576"/>
    </row>
    <row r="22" spans="1:18" ht="12.75" customHeight="1">
      <c r="A22" s="30"/>
      <c r="C22" s="536" t="s">
        <v>83</v>
      </c>
      <c r="D22" s="536"/>
      <c r="F22" s="535"/>
      <c r="G22" s="535"/>
      <c r="H22" s="535"/>
      <c r="I22" s="254">
        <f>IF(AND(ISNUMBER(SEARCH("Revised*",D12)),F22=""),"Please enter a Revised Date","")</f>
      </c>
      <c r="J22" s="42"/>
      <c r="L22" s="530"/>
      <c r="M22" s="531"/>
      <c r="N22" s="531"/>
      <c r="O22" s="247"/>
      <c r="P22" s="530"/>
      <c r="Q22" s="531"/>
      <c r="R22" s="531"/>
    </row>
    <row r="23" spans="6:22" ht="12.75" customHeight="1">
      <c r="F23" s="534" t="s">
        <v>84</v>
      </c>
      <c r="G23" s="534"/>
      <c r="H23" s="534"/>
      <c r="J23" s="33"/>
      <c r="L23" s="532" t="s">
        <v>245</v>
      </c>
      <c r="M23" s="532"/>
      <c r="N23" s="532"/>
      <c r="O23" s="46"/>
      <c r="P23" s="532" t="s">
        <v>245</v>
      </c>
      <c r="Q23" s="532"/>
      <c r="R23" s="532"/>
      <c r="S23" s="246"/>
      <c r="T23" s="246"/>
      <c r="U23" s="246"/>
      <c r="V23" s="85"/>
    </row>
    <row r="24" spans="2:18" ht="12.75" customHeight="1">
      <c r="B24" s="43"/>
      <c r="E24" s="44"/>
      <c r="J24" s="33"/>
      <c r="L24" s="12"/>
      <c r="M24" s="12"/>
      <c r="N24" s="12"/>
      <c r="O24" s="12"/>
      <c r="P24" s="12"/>
      <c r="Q24" s="12"/>
      <c r="R24" s="12"/>
    </row>
    <row r="25" spans="1:21" ht="12.75" customHeight="1">
      <c r="A25" s="537"/>
      <c r="B25" s="537"/>
      <c r="C25" s="537"/>
      <c r="D25" s="537"/>
      <c r="E25" s="537"/>
      <c r="F25" s="537"/>
      <c r="G25" s="537"/>
      <c r="H25" s="537"/>
      <c r="I25" s="537"/>
      <c r="J25" s="538"/>
      <c r="L25" s="529">
        <f>IF(OR(L26="",P26=""),"Please enter typed school official names","")</f>
      </c>
      <c r="M25" s="529"/>
      <c r="N25" s="529"/>
      <c r="O25" s="529"/>
      <c r="P25" s="529"/>
      <c r="Q25" s="529"/>
      <c r="R25" s="529"/>
      <c r="U25" s="266"/>
    </row>
    <row r="26" spans="1:18" ht="12.75" customHeight="1">
      <c r="A26" s="537"/>
      <c r="B26" s="537"/>
      <c r="C26" s="537"/>
      <c r="D26" s="537"/>
      <c r="E26" s="537"/>
      <c r="F26" s="537"/>
      <c r="G26" s="537"/>
      <c r="H26" s="537"/>
      <c r="I26" s="537"/>
      <c r="J26" s="538"/>
      <c r="L26" s="539" t="s">
        <v>539</v>
      </c>
      <c r="M26" s="540"/>
      <c r="N26" s="540"/>
      <c r="O26" s="46"/>
      <c r="P26" s="539" t="s">
        <v>572</v>
      </c>
      <c r="Q26" s="540"/>
      <c r="R26" s="540"/>
    </row>
    <row r="27" spans="1:18" ht="12.75" customHeight="1">
      <c r="A27" s="537"/>
      <c r="B27" s="537"/>
      <c r="C27" s="537"/>
      <c r="D27" s="537"/>
      <c r="E27" s="537"/>
      <c r="F27" s="537"/>
      <c r="G27" s="537"/>
      <c r="H27" s="537"/>
      <c r="I27" s="537"/>
      <c r="J27" s="538"/>
      <c r="L27" s="532" t="s">
        <v>247</v>
      </c>
      <c r="M27" s="534"/>
      <c r="N27" s="534"/>
      <c r="O27" s="46"/>
      <c r="P27" s="532" t="s">
        <v>247</v>
      </c>
      <c r="Q27" s="534"/>
      <c r="R27" s="534"/>
    </row>
    <row r="28" spans="2:10" ht="12.75" customHeight="1">
      <c r="B28" s="30"/>
      <c r="C28" s="43"/>
      <c r="D28" s="43"/>
      <c r="F28" s="30"/>
      <c r="G28" s="45"/>
      <c r="H28" s="29"/>
      <c r="I28" s="29"/>
      <c r="J28" s="34"/>
    </row>
    <row r="29" spans="1:19" ht="12.75" customHeight="1">
      <c r="A29" s="531"/>
      <c r="B29" s="531"/>
      <c r="C29" s="531"/>
      <c r="D29" s="531"/>
      <c r="E29" s="531"/>
      <c r="F29" s="30"/>
      <c r="G29" s="533"/>
      <c r="H29" s="533"/>
      <c r="I29" s="533"/>
      <c r="J29" s="34"/>
      <c r="L29" s="527" t="s">
        <v>487</v>
      </c>
      <c r="M29" s="527"/>
      <c r="N29" s="528"/>
      <c r="O29" s="528"/>
      <c r="P29" s="528"/>
      <c r="Q29" s="528"/>
      <c r="R29" s="528"/>
      <c r="S29" s="527"/>
    </row>
    <row r="30" spans="8:19" ht="12.75" customHeight="1" thickBot="1">
      <c r="H30" s="29"/>
      <c r="I30" s="29"/>
      <c r="J30" s="34"/>
      <c r="L30" s="529">
        <f>IF((BudgetYearSalary)=0,"Average teacher salary information is not complete",IF(AND((PriorYearSalary)=0,(L31)=""),"Average teacher salary information is not complete",""))</f>
      </c>
      <c r="M30" s="529"/>
      <c r="N30" s="529"/>
      <c r="O30" s="529"/>
      <c r="P30" s="529"/>
      <c r="Q30" s="529"/>
      <c r="R30" s="529"/>
      <c r="S30" s="485"/>
    </row>
    <row r="31" spans="1:18" ht="12.75" customHeight="1" thickBot="1">
      <c r="A31" s="531"/>
      <c r="B31" s="531"/>
      <c r="C31" s="531"/>
      <c r="D31" s="531"/>
      <c r="E31" s="531"/>
      <c r="F31" s="30"/>
      <c r="G31" s="533"/>
      <c r="H31" s="533"/>
      <c r="I31" s="533"/>
      <c r="J31" s="33"/>
      <c r="L31" s="487"/>
      <c r="M31" s="248" t="s">
        <v>453</v>
      </c>
      <c r="N31" s="254"/>
      <c r="O31" s="254"/>
      <c r="P31" s="254"/>
      <c r="Q31" s="254"/>
      <c r="R31" s="254"/>
    </row>
    <row r="32" spans="10:19" ht="12.75" customHeight="1">
      <c r="J32" s="33"/>
      <c r="L32" s="248" t="s">
        <v>488</v>
      </c>
      <c r="M32" s="456"/>
      <c r="N32" s="456"/>
      <c r="O32" s="513"/>
      <c r="P32" s="513"/>
      <c r="Q32" s="39" t="s">
        <v>4</v>
      </c>
      <c r="R32" s="253">
        <v>47863</v>
      </c>
      <c r="S32" s="273">
        <f>IF(OR(BudgetYearSalary=0,PriorYearSalary=0),1/error,"")</f>
      </c>
    </row>
    <row r="33" spans="1:18" ht="12.75" customHeight="1">
      <c r="A33" s="531"/>
      <c r="B33" s="531"/>
      <c r="C33" s="531"/>
      <c r="D33" s="531"/>
      <c r="E33" s="531"/>
      <c r="F33" s="30"/>
      <c r="G33" s="533"/>
      <c r="H33" s="533"/>
      <c r="I33" s="533"/>
      <c r="J33" s="33"/>
      <c r="L33" s="248" t="s">
        <v>489</v>
      </c>
      <c r="M33" s="85"/>
      <c r="N33" s="85"/>
      <c r="O33" s="513"/>
      <c r="P33" s="513"/>
      <c r="Q33" s="39" t="s">
        <v>4</v>
      </c>
      <c r="R33" s="40">
        <v>42269</v>
      </c>
    </row>
    <row r="34" spans="10:18" ht="12.75" customHeight="1">
      <c r="J34" s="33"/>
      <c r="L34" s="248" t="s">
        <v>490</v>
      </c>
      <c r="M34" s="85"/>
      <c r="N34" s="85"/>
      <c r="O34" s="513"/>
      <c r="P34" s="513"/>
      <c r="Q34" s="39" t="s">
        <v>4</v>
      </c>
      <c r="R34" s="40">
        <f>R32-R33</f>
        <v>5594</v>
      </c>
    </row>
    <row r="35" spans="1:18" ht="12.75" customHeight="1">
      <c r="A35" s="531"/>
      <c r="B35" s="531"/>
      <c r="C35" s="531"/>
      <c r="D35" s="531"/>
      <c r="E35" s="531"/>
      <c r="F35" s="30"/>
      <c r="G35" s="533"/>
      <c r="H35" s="533"/>
      <c r="I35" s="533"/>
      <c r="J35" s="33"/>
      <c r="L35" s="248" t="s">
        <v>281</v>
      </c>
      <c r="Q35" s="39"/>
      <c r="R35" s="261">
        <f>IF(PriorYearSalary&gt;0,R34/R33,0)</f>
        <v>0.132</v>
      </c>
    </row>
    <row r="36" spans="4:18" ht="12.75" customHeight="1">
      <c r="D36" s="29"/>
      <c r="E36" s="29"/>
      <c r="F36" s="29"/>
      <c r="G36" s="29"/>
      <c r="J36" s="33"/>
      <c r="L36" s="564" t="s">
        <v>574</v>
      </c>
      <c r="M36" s="565"/>
      <c r="N36" s="565"/>
      <c r="O36" s="565"/>
      <c r="P36" s="565"/>
      <c r="Q36" s="565"/>
      <c r="R36" s="566"/>
    </row>
    <row r="37" spans="1:18" ht="12.75" customHeight="1">
      <c r="A37" s="531"/>
      <c r="B37" s="531"/>
      <c r="C37" s="531"/>
      <c r="D37" s="531"/>
      <c r="E37" s="531"/>
      <c r="F37" s="30"/>
      <c r="G37" s="533"/>
      <c r="H37" s="533"/>
      <c r="I37" s="533"/>
      <c r="K37" s="258"/>
      <c r="L37" s="567"/>
      <c r="M37" s="568"/>
      <c r="N37" s="568"/>
      <c r="O37" s="568"/>
      <c r="P37" s="568"/>
      <c r="Q37" s="568"/>
      <c r="R37" s="569"/>
    </row>
    <row r="38" spans="4:19" ht="12.75" customHeight="1">
      <c r="D38" s="29"/>
      <c r="E38" s="29"/>
      <c r="F38" s="29"/>
      <c r="G38" s="29"/>
      <c r="K38" s="143"/>
      <c r="L38" s="567"/>
      <c r="M38" s="568"/>
      <c r="N38" s="568"/>
      <c r="O38" s="568"/>
      <c r="P38" s="568"/>
      <c r="Q38" s="568"/>
      <c r="R38" s="569"/>
      <c r="S38" s="258"/>
    </row>
    <row r="39" spans="1:19" ht="12.75" customHeight="1">
      <c r="A39" s="531"/>
      <c r="B39" s="531"/>
      <c r="C39" s="531"/>
      <c r="D39" s="531"/>
      <c r="E39" s="531"/>
      <c r="F39" s="30"/>
      <c r="G39" s="533"/>
      <c r="H39" s="533"/>
      <c r="I39" s="533"/>
      <c r="K39" s="143"/>
      <c r="L39" s="567"/>
      <c r="M39" s="568"/>
      <c r="N39" s="568"/>
      <c r="O39" s="568"/>
      <c r="P39" s="568"/>
      <c r="Q39" s="568"/>
      <c r="R39" s="569"/>
      <c r="S39" s="258"/>
    </row>
    <row r="40" spans="4:19" ht="12.75" customHeight="1">
      <c r="D40" s="29"/>
      <c r="E40" s="29"/>
      <c r="F40" s="29"/>
      <c r="G40" s="29"/>
      <c r="K40" s="143"/>
      <c r="L40" s="570"/>
      <c r="M40" s="571"/>
      <c r="N40" s="571"/>
      <c r="O40" s="571"/>
      <c r="P40" s="571"/>
      <c r="Q40" s="571"/>
      <c r="R40" s="572"/>
      <c r="S40" s="258"/>
    </row>
    <row r="41" spans="1:19" ht="12.75" customHeight="1">
      <c r="A41" s="531"/>
      <c r="B41" s="531"/>
      <c r="C41" s="531"/>
      <c r="D41" s="531"/>
      <c r="E41" s="531"/>
      <c r="F41" s="30"/>
      <c r="G41" s="533"/>
      <c r="H41" s="533"/>
      <c r="I41" s="533"/>
      <c r="K41" s="258"/>
      <c r="L41" s="248" t="s">
        <v>465</v>
      </c>
      <c r="M41" s="514"/>
      <c r="N41" s="514"/>
      <c r="O41" s="514"/>
      <c r="P41" s="514"/>
      <c r="Q41" s="265" t="s">
        <v>4</v>
      </c>
      <c r="R41" s="253">
        <v>38017</v>
      </c>
      <c r="S41" s="500"/>
    </row>
    <row r="42" spans="1:19" ht="12.75" customHeight="1">
      <c r="A42" s="534" t="s">
        <v>85</v>
      </c>
      <c r="B42" s="534"/>
      <c r="C42" s="534"/>
      <c r="D42" s="534"/>
      <c r="E42" s="534"/>
      <c r="F42" s="30"/>
      <c r="G42" s="534" t="s">
        <v>42</v>
      </c>
      <c r="H42" s="534"/>
      <c r="I42" s="534"/>
      <c r="K42" s="258"/>
      <c r="L42" s="248" t="s">
        <v>466</v>
      </c>
      <c r="M42" s="514"/>
      <c r="N42" s="514"/>
      <c r="O42" s="514"/>
      <c r="P42" s="514"/>
      <c r="Q42" s="514"/>
      <c r="R42" s="515">
        <f>IF(PriorYearSalary&gt;0,((BudgetYearSalary-R41)/R41),0)</f>
        <v>0.259</v>
      </c>
      <c r="S42" s="500"/>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 ref="P16" r:id="rId1" display="ikidd@thepartnership.us"/>
  </hyperlinks>
  <printOptions horizontalCentered="1" verticalCentered="1"/>
  <pageMargins left="0.75" right="0.5" top="0.25" bottom="0.25" header="0" footer="0"/>
  <pageSetup horizontalDpi="600" verticalDpi="600" orientation="landscape" paperSize="5" scale="77" r:id="rId3"/>
  <headerFooter>
    <oddFooter>&amp;L&amp;"Arial,Bold"Rev. 5/19 Arizona Department of Education and Auditor General</oddFooter>
  </headerFooter>
  <drawing r:id="rId2"/>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21">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89" t="str">
        <f>Cover!D1</f>
        <v>Pima Prevention Partnership</v>
      </c>
      <c r="C1" s="689"/>
      <c r="D1" s="318" t="s">
        <v>331</v>
      </c>
      <c r="E1" s="689" t="str">
        <f>Cover!M1</f>
        <v>PIMA</v>
      </c>
      <c r="F1" s="689"/>
      <c r="G1" s="689"/>
      <c r="H1" s="318" t="s">
        <v>190</v>
      </c>
      <c r="I1" s="690" t="str">
        <f>Cover!R1</f>
        <v>108507000</v>
      </c>
      <c r="J1" s="690"/>
    </row>
    <row r="2" spans="1:10" ht="12.75">
      <c r="A2" s="318"/>
      <c r="B2" s="373"/>
      <c r="C2" s="374"/>
      <c r="D2" s="318"/>
      <c r="E2" s="373"/>
      <c r="F2" s="374"/>
      <c r="G2" s="374"/>
      <c r="I2" s="318"/>
      <c r="J2" s="374"/>
    </row>
    <row r="3" spans="1:10" ht="12.75">
      <c r="A3" s="688" t="s">
        <v>419</v>
      </c>
      <c r="B3" s="688"/>
      <c r="C3" s="688"/>
      <c r="D3" s="688"/>
      <c r="E3" s="688"/>
      <c r="F3" s="688"/>
      <c r="G3" s="688"/>
      <c r="H3" s="688"/>
      <c r="I3" s="688"/>
      <c r="J3" s="688"/>
    </row>
    <row r="4" spans="1:10" ht="12.75">
      <c r="A4" s="688" t="s">
        <v>403</v>
      </c>
      <c r="B4" s="688"/>
      <c r="C4" s="688"/>
      <c r="D4" s="688"/>
      <c r="E4" s="688"/>
      <c r="F4" s="688"/>
      <c r="G4" s="688"/>
      <c r="H4" s="688"/>
      <c r="I4" s="688"/>
      <c r="J4" s="688"/>
    </row>
    <row r="5" spans="1:10" ht="12.75">
      <c r="A5" s="688" t="s">
        <v>420</v>
      </c>
      <c r="B5" s="688"/>
      <c r="C5" s="688"/>
      <c r="D5" s="688"/>
      <c r="E5" s="688"/>
      <c r="F5" s="688"/>
      <c r="G5" s="688"/>
      <c r="H5" s="688"/>
      <c r="I5" s="688"/>
      <c r="J5" s="688"/>
    </row>
    <row r="6" ht="12.75">
      <c r="J6" s="316" t="s">
        <v>480</v>
      </c>
    </row>
    <row r="8" spans="1:5" ht="12.75">
      <c r="A8" s="406" t="s">
        <v>366</v>
      </c>
      <c r="B8" s="407" t="s">
        <v>332</v>
      </c>
      <c r="C8" s="407" t="s">
        <v>333</v>
      </c>
      <c r="D8" s="408" t="s">
        <v>334</v>
      </c>
      <c r="E8" s="405" t="s">
        <v>202</v>
      </c>
    </row>
    <row r="9" spans="1:5" ht="12.75">
      <c r="A9" s="488" t="s">
        <v>428</v>
      </c>
      <c r="B9" s="375">
        <f>'Data Entry'!F17</f>
        <v>0</v>
      </c>
      <c r="C9" s="375">
        <f>'Data Entry'!I17</f>
        <v>0</v>
      </c>
      <c r="D9" s="375">
        <f>'Data Entry'!L17</f>
        <v>170</v>
      </c>
      <c r="E9" s="404">
        <f>SUM(B9:D9)</f>
        <v>170</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0</v>
      </c>
      <c r="D15" s="374" t="s">
        <v>342</v>
      </c>
      <c r="E15" s="378">
        <f>IF('Data Entry'!I20&gt;0,IF('Data Entry'!I20&lt;100,Calculations!L9,IF('Data Entry'!I20&lt;500,Calculations!L17,IF('Data Entry'!I20&lt;600,Calculations!L25,Calculations!L27))),0)</f>
        <v>0</v>
      </c>
      <c r="F15" s="374" t="s">
        <v>340</v>
      </c>
      <c r="G15" s="375">
        <f>C15*E15</f>
        <v>0</v>
      </c>
    </row>
    <row r="16" spans="1:7" ht="12.75">
      <c r="A16" s="393" t="s">
        <v>334</v>
      </c>
      <c r="C16" s="379">
        <f>D9</f>
        <v>170</v>
      </c>
      <c r="D16" s="374" t="s">
        <v>342</v>
      </c>
      <c r="E16" s="378">
        <f>IF('Data Entry'!L20&gt;0,IF('Data Entry'!L20&lt;100,Calculations!N9,IF('Data Entry'!L20&lt;500,Calculations!N17,IF('Data Entry'!L20&lt;600,Calculations!N25,Calculations!N27))),0)</f>
        <v>1.53</v>
      </c>
      <c r="F16" s="374" t="s">
        <v>340</v>
      </c>
      <c r="G16" s="379">
        <f>C16*E16</f>
        <v>260.1</v>
      </c>
    </row>
    <row r="17" spans="1:7" ht="12.75">
      <c r="A17" s="392" t="s">
        <v>370</v>
      </c>
      <c r="C17" s="380">
        <f>SUM(C14:C16)</f>
        <v>170</v>
      </c>
      <c r="G17" s="380">
        <f>SUM(G14:G16)</f>
        <v>260.1</v>
      </c>
    </row>
    <row r="18" ht="17.25" customHeight="1"/>
    <row r="19" ht="11.25" customHeight="1"/>
    <row r="21" spans="1:7" ht="42" customHeight="1">
      <c r="A21" s="381" t="s">
        <v>426</v>
      </c>
      <c r="C21" s="377" t="s">
        <v>433</v>
      </c>
      <c r="E21" s="377" t="s">
        <v>335</v>
      </c>
      <c r="G21" s="377" t="s">
        <v>435</v>
      </c>
    </row>
    <row r="22" spans="1:7" ht="12.75">
      <c r="A22" s="300" t="s">
        <v>350</v>
      </c>
      <c r="C22" s="382">
        <f>'Data Entry'!I38</f>
        <v>0</v>
      </c>
      <c r="D22" s="374" t="s">
        <v>342</v>
      </c>
      <c r="E22" s="378">
        <v>0.04</v>
      </c>
      <c r="F22" s="374" t="s">
        <v>340</v>
      </c>
      <c r="G22" s="382">
        <f>C22*E22</f>
        <v>0</v>
      </c>
    </row>
    <row r="23" spans="1:7" ht="12.75">
      <c r="A23" s="300" t="s">
        <v>351</v>
      </c>
      <c r="C23" s="382">
        <f>'Data Entry'!I39</f>
        <v>0</v>
      </c>
      <c r="D23" s="374" t="s">
        <v>342</v>
      </c>
      <c r="E23" s="378">
        <v>0.06</v>
      </c>
      <c r="F23" s="374" t="s">
        <v>340</v>
      </c>
      <c r="G23" s="382">
        <f aca="true" t="shared" si="0" ref="G23:G35">C23*E23</f>
        <v>0</v>
      </c>
    </row>
    <row r="24" spans="1:7" ht="12.75">
      <c r="A24" s="300" t="s">
        <v>371</v>
      </c>
      <c r="C24" s="382">
        <f>'Data Entry'!I40</f>
        <v>17</v>
      </c>
      <c r="D24" s="374" t="s">
        <v>342</v>
      </c>
      <c r="E24" s="378">
        <v>0.115</v>
      </c>
      <c r="F24" s="374" t="s">
        <v>340</v>
      </c>
      <c r="G24" s="382">
        <f t="shared" si="0"/>
        <v>1.955</v>
      </c>
    </row>
    <row r="25" spans="1:7" ht="12.75">
      <c r="A25" s="300" t="s">
        <v>372</v>
      </c>
      <c r="C25" s="382">
        <f>'Data Entry'!I41</f>
        <v>0</v>
      </c>
      <c r="D25" s="374" t="s">
        <v>342</v>
      </c>
      <c r="E25" s="378">
        <v>4.771</v>
      </c>
      <c r="F25" s="374" t="s">
        <v>340</v>
      </c>
      <c r="G25" s="382">
        <f t="shared" si="0"/>
        <v>0</v>
      </c>
    </row>
    <row r="26" spans="1:7" ht="12.75">
      <c r="A26" s="300" t="s">
        <v>373</v>
      </c>
      <c r="C26" s="382">
        <f>'Data Entry'!I42</f>
        <v>0</v>
      </c>
      <c r="D26" s="374" t="s">
        <v>342</v>
      </c>
      <c r="E26" s="378">
        <v>6.024</v>
      </c>
      <c r="F26" s="374" t="s">
        <v>340</v>
      </c>
      <c r="G26" s="382">
        <f t="shared" si="0"/>
        <v>0</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11</v>
      </c>
      <c r="D32" s="374" t="s">
        <v>342</v>
      </c>
      <c r="E32" s="378">
        <v>0.003</v>
      </c>
      <c r="F32" s="374" t="s">
        <v>340</v>
      </c>
      <c r="G32" s="382">
        <f t="shared" si="0"/>
        <v>0.033</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1.988</v>
      </c>
    </row>
    <row r="37" ht="12.75">
      <c r="A37" s="383"/>
    </row>
    <row r="39" spans="1:10" ht="12.75">
      <c r="A39" s="688" t="s">
        <v>419</v>
      </c>
      <c r="B39" s="688"/>
      <c r="C39" s="688"/>
      <c r="D39" s="688"/>
      <c r="E39" s="688"/>
      <c r="F39" s="688"/>
      <c r="G39" s="688"/>
      <c r="H39" s="688"/>
      <c r="I39" s="688"/>
      <c r="J39" s="688"/>
    </row>
    <row r="40" spans="1:10" ht="12.75">
      <c r="A40" s="688" t="s">
        <v>403</v>
      </c>
      <c r="B40" s="688"/>
      <c r="C40" s="688"/>
      <c r="D40" s="688"/>
      <c r="E40" s="688"/>
      <c r="F40" s="688"/>
      <c r="G40" s="688"/>
      <c r="H40" s="688"/>
      <c r="I40" s="688"/>
      <c r="J40" s="688"/>
    </row>
    <row r="41" spans="1:10" ht="12.75">
      <c r="A41" s="688" t="s">
        <v>420</v>
      </c>
      <c r="B41" s="688"/>
      <c r="C41" s="688"/>
      <c r="D41" s="688"/>
      <c r="E41" s="688"/>
      <c r="F41" s="688"/>
      <c r="G41" s="688"/>
      <c r="H41" s="688"/>
      <c r="I41" s="688"/>
      <c r="J41" s="688"/>
    </row>
    <row r="42" ht="12.75">
      <c r="J42" s="316" t="s">
        <v>481</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0</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1.53</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8" t="s">
        <v>419</v>
      </c>
      <c r="B73" s="688"/>
      <c r="C73" s="688"/>
      <c r="D73" s="688"/>
      <c r="E73" s="688"/>
      <c r="F73" s="688"/>
      <c r="G73" s="688"/>
      <c r="H73" s="688"/>
      <c r="I73" s="688"/>
      <c r="J73" s="688"/>
    </row>
    <row r="74" spans="1:10" ht="12.75">
      <c r="A74" s="688" t="s">
        <v>403</v>
      </c>
      <c r="B74" s="688"/>
      <c r="C74" s="688"/>
      <c r="D74" s="688"/>
      <c r="E74" s="688"/>
      <c r="F74" s="688"/>
      <c r="G74" s="688"/>
      <c r="H74" s="688"/>
      <c r="I74" s="688"/>
      <c r="J74" s="688"/>
    </row>
    <row r="75" spans="1:10" ht="12.75">
      <c r="A75" s="688" t="s">
        <v>420</v>
      </c>
      <c r="B75" s="688"/>
      <c r="C75" s="688"/>
      <c r="D75" s="688"/>
      <c r="E75" s="688"/>
      <c r="F75" s="688"/>
      <c r="G75" s="688"/>
      <c r="H75" s="688"/>
      <c r="I75" s="688"/>
      <c r="J75" s="688"/>
    </row>
    <row r="76" ht="12.75">
      <c r="J76" s="316" t="s">
        <v>483</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0</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1.53</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8" t="s">
        <v>419</v>
      </c>
      <c r="B107" s="688"/>
      <c r="C107" s="688"/>
      <c r="D107" s="688"/>
      <c r="E107" s="688"/>
      <c r="F107" s="688"/>
      <c r="G107" s="688"/>
      <c r="H107" s="688"/>
      <c r="I107" s="688"/>
      <c r="J107" s="688"/>
    </row>
    <row r="108" spans="1:10" ht="12.75">
      <c r="A108" s="688" t="s">
        <v>403</v>
      </c>
      <c r="B108" s="688"/>
      <c r="C108" s="688"/>
      <c r="D108" s="688"/>
      <c r="E108" s="688"/>
      <c r="F108" s="688"/>
      <c r="G108" s="688"/>
      <c r="H108" s="688"/>
      <c r="I108" s="688"/>
      <c r="J108" s="688"/>
    </row>
    <row r="109" spans="1:10" ht="12.75">
      <c r="A109" s="688" t="s">
        <v>420</v>
      </c>
      <c r="B109" s="688"/>
      <c r="C109" s="688"/>
      <c r="D109" s="688"/>
      <c r="E109" s="688"/>
      <c r="F109" s="688"/>
      <c r="G109" s="688"/>
      <c r="H109" s="688"/>
      <c r="I109" s="688"/>
      <c r="J109" s="688"/>
    </row>
    <row r="110" spans="1:10" ht="12.75">
      <c r="A110" s="319"/>
      <c r="B110" s="319"/>
      <c r="C110" s="319"/>
      <c r="D110" s="319"/>
      <c r="E110" s="319"/>
      <c r="F110" s="319"/>
      <c r="G110" s="319"/>
      <c r="H110" s="319"/>
      <c r="I110" s="319"/>
      <c r="J110" s="316" t="s">
        <v>482</v>
      </c>
    </row>
    <row r="111" spans="1:9" ht="42" customHeight="1">
      <c r="A111" s="384" t="s">
        <v>429</v>
      </c>
      <c r="C111" s="334" t="s">
        <v>431</v>
      </c>
      <c r="D111" s="397"/>
      <c r="E111" s="377" t="s">
        <v>432</v>
      </c>
      <c r="I111" s="334" t="s">
        <v>406</v>
      </c>
    </row>
    <row r="112" spans="1:9" ht="12.75">
      <c r="A112" s="300" t="s">
        <v>366</v>
      </c>
      <c r="C112" s="375">
        <f>G17</f>
        <v>260.1</v>
      </c>
      <c r="D112" s="374" t="s">
        <v>344</v>
      </c>
      <c r="E112" s="375">
        <f>G36</f>
        <v>1.988</v>
      </c>
      <c r="F112" s="374"/>
      <c r="H112" s="374" t="s">
        <v>340</v>
      </c>
      <c r="I112" s="375">
        <f>(C112+E112)</f>
        <v>262.088</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262.088</v>
      </c>
    </row>
    <row r="117" spans="1:7" ht="12.75">
      <c r="A117" s="384" t="s">
        <v>407</v>
      </c>
      <c r="E117" s="384" t="s">
        <v>381</v>
      </c>
      <c r="F117" s="376"/>
      <c r="G117" s="376"/>
    </row>
    <row r="118" spans="1:9" ht="12.75">
      <c r="A118" s="300" t="s">
        <v>361</v>
      </c>
      <c r="C118" s="375">
        <f>I115</f>
        <v>262.088</v>
      </c>
      <c r="E118" s="300" t="s">
        <v>382</v>
      </c>
      <c r="H118" s="388">
        <f>'Data Entry'!N68</f>
        <v>0</v>
      </c>
      <c r="I118" s="388"/>
    </row>
    <row r="119" spans="1:8" ht="12.75">
      <c r="A119" s="300" t="s">
        <v>380</v>
      </c>
      <c r="C119" s="443">
        <f>Calculations!L70</f>
        <v>4150.43</v>
      </c>
      <c r="H119" s="376"/>
    </row>
    <row r="120" spans="1:8" ht="12.75">
      <c r="A120" s="300" t="s">
        <v>379</v>
      </c>
      <c r="C120" s="391">
        <f>C118*C119</f>
        <v>1087777.9</v>
      </c>
      <c r="H120" s="391">
        <f>H118</f>
        <v>0</v>
      </c>
    </row>
    <row r="121" spans="3:8" ht="12.75">
      <c r="C121" s="391"/>
      <c r="H121" s="391"/>
    </row>
    <row r="122" spans="1:3" ht="12.75">
      <c r="A122" s="300" t="s">
        <v>381</v>
      </c>
      <c r="C122" s="390">
        <f>H120</f>
        <v>0</v>
      </c>
    </row>
    <row r="123" spans="1:3" ht="12.75">
      <c r="A123" s="300" t="s">
        <v>408</v>
      </c>
      <c r="C123" s="391">
        <f>C120+C122</f>
        <v>1087777.9</v>
      </c>
    </row>
    <row r="125" spans="1:5" ht="12.75">
      <c r="A125" s="384" t="s">
        <v>409</v>
      </c>
      <c r="C125" s="334" t="s">
        <v>332</v>
      </c>
      <c r="D125" s="334" t="s">
        <v>333</v>
      </c>
      <c r="E125" s="385" t="s">
        <v>334</v>
      </c>
    </row>
    <row r="126" spans="1:5" ht="12.75">
      <c r="A126" s="300" t="s">
        <v>367</v>
      </c>
      <c r="C126" s="375">
        <f>B9</f>
        <v>0</v>
      </c>
      <c r="D126" s="375">
        <f>SUM(C9+B45+B79)</f>
        <v>0</v>
      </c>
      <c r="E126" s="375">
        <f>SUM(D9+C45+C79)</f>
        <v>170</v>
      </c>
    </row>
    <row r="127" spans="1:5" ht="12.75">
      <c r="A127" s="300" t="s">
        <v>410</v>
      </c>
      <c r="C127" s="497">
        <v>1843.14</v>
      </c>
      <c r="D127" s="497">
        <v>1843.14</v>
      </c>
      <c r="E127" s="497">
        <v>2148.15</v>
      </c>
    </row>
    <row r="128" spans="1:5" ht="12.75">
      <c r="A128" s="300" t="s">
        <v>409</v>
      </c>
      <c r="C128" s="388">
        <f>C127*C126</f>
        <v>0</v>
      </c>
      <c r="D128" s="388">
        <f>D127*D126</f>
        <v>0</v>
      </c>
      <c r="E128" s="388">
        <f>E127*E126</f>
        <v>365185.5</v>
      </c>
    </row>
    <row r="130" spans="1:3" ht="12.75">
      <c r="A130" s="300" t="s">
        <v>411</v>
      </c>
      <c r="C130" s="391">
        <f>C128+D128+E128</f>
        <v>365185.5</v>
      </c>
    </row>
    <row r="132" ht="12.75">
      <c r="A132" s="381" t="s">
        <v>412</v>
      </c>
    </row>
    <row r="133" spans="1:3" ht="12.75">
      <c r="A133" s="300" t="s">
        <v>408</v>
      </c>
      <c r="C133" s="388">
        <f>C123</f>
        <v>1087777.9</v>
      </c>
    </row>
    <row r="134" spans="1:3" ht="12.75">
      <c r="A134" s="300" t="s">
        <v>411</v>
      </c>
      <c r="C134" s="390">
        <f>C130</f>
        <v>365185.5</v>
      </c>
    </row>
    <row r="135" spans="1:4" ht="12.75">
      <c r="A135" s="316" t="s">
        <v>413</v>
      </c>
      <c r="C135" s="391">
        <f>C133+C134</f>
        <v>1452963.4</v>
      </c>
      <c r="D135" s="300" t="s">
        <v>531</v>
      </c>
    </row>
    <row r="136" spans="4:6" ht="12.75">
      <c r="D136" s="333" t="s">
        <v>532</v>
      </c>
      <c r="E136" s="525" t="s">
        <v>528</v>
      </c>
      <c r="F136" s="389" t="s">
        <v>530</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326</v>
      </c>
      <c r="C6" s="226" t="s">
        <v>513</v>
      </c>
    </row>
    <row r="7" spans="1:3" ht="31.5" customHeight="1">
      <c r="A7" s="269" t="s">
        <v>324</v>
      </c>
      <c r="B7" s="196" t="s">
        <v>324</v>
      </c>
      <c r="C7" s="226" t="s">
        <v>325</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520</v>
      </c>
    </row>
    <row r="26" spans="1:3" ht="63.75" customHeight="1">
      <c r="A26" s="208">
        <v>4</v>
      </c>
      <c r="B26" s="196" t="s">
        <v>517</v>
      </c>
      <c r="C26" s="496" t="s">
        <v>518</v>
      </c>
    </row>
    <row r="27" spans="1:3" ht="66" customHeight="1">
      <c r="A27" s="208">
        <v>4</v>
      </c>
      <c r="B27" s="196" t="s">
        <v>228</v>
      </c>
      <c r="C27" s="496"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tabSelected="1" workbookViewId="0" topLeftCell="A1">
      <selection activeCell="G15" sqref="G15"/>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81" t="str">
        <f>Cover!D1</f>
        <v>Pima Prevention Partnership</v>
      </c>
      <c r="C1" s="581"/>
      <c r="E1" s="265" t="s">
        <v>310</v>
      </c>
      <c r="F1" s="264" t="str">
        <f>Cover!M1</f>
        <v>PIMA</v>
      </c>
      <c r="G1" s="265" t="s">
        <v>311</v>
      </c>
      <c r="H1" s="277" t="str">
        <f>[0]!CTD</f>
        <v>108507000</v>
      </c>
    </row>
    <row r="2" spans="2:8" ht="12.75">
      <c r="B2" s="268"/>
      <c r="C2" s="268"/>
      <c r="E2" s="265"/>
      <c r="F2" s="266"/>
      <c r="G2" s="265"/>
      <c r="H2" s="43"/>
    </row>
    <row r="3" spans="2:8" ht="12.75">
      <c r="B3" s="268"/>
      <c r="C3" s="268"/>
      <c r="E3" s="265"/>
      <c r="F3" s="266"/>
      <c r="G3" s="265"/>
      <c r="H3" s="43"/>
    </row>
    <row r="4" spans="2:8" ht="12.75">
      <c r="B4" s="268"/>
      <c r="C4" s="582" t="s">
        <v>322</v>
      </c>
      <c r="D4" s="582"/>
      <c r="E4" s="582"/>
      <c r="F4" s="582"/>
      <c r="G4" s="582"/>
      <c r="H4" s="582"/>
    </row>
    <row r="5" ht="12.75">
      <c r="Z5" s="263" t="s">
        <v>308</v>
      </c>
    </row>
    <row r="6" spans="3:26" ht="12.75">
      <c r="C6" s="275" t="s">
        <v>291</v>
      </c>
      <c r="D6" s="275" t="s">
        <v>292</v>
      </c>
      <c r="E6" s="275" t="s">
        <v>293</v>
      </c>
      <c r="F6" s="275" t="s">
        <v>294</v>
      </c>
      <c r="G6" s="275" t="s">
        <v>329</v>
      </c>
      <c r="H6" s="275" t="s">
        <v>295</v>
      </c>
      <c r="Z6" s="263" t="s">
        <v>297</v>
      </c>
    </row>
    <row r="7" spans="1:26" ht="12.75">
      <c r="A7" s="578" t="s">
        <v>287</v>
      </c>
      <c r="B7" s="579"/>
      <c r="C7" s="267" t="s">
        <v>540</v>
      </c>
      <c r="D7" s="267" t="s">
        <v>541</v>
      </c>
      <c r="E7" s="267" t="s">
        <v>542</v>
      </c>
      <c r="F7" s="267"/>
      <c r="G7" s="526" t="s">
        <v>538</v>
      </c>
      <c r="H7" s="274">
        <v>5207923292</v>
      </c>
      <c r="Z7" s="263" t="s">
        <v>296</v>
      </c>
    </row>
    <row r="8" spans="1:26" ht="12.75">
      <c r="A8" s="578" t="s">
        <v>287</v>
      </c>
      <c r="B8" s="579"/>
      <c r="C8" s="267" t="s">
        <v>540</v>
      </c>
      <c r="D8" s="267" t="s">
        <v>543</v>
      </c>
      <c r="E8" s="267" t="s">
        <v>544</v>
      </c>
      <c r="F8" s="267"/>
      <c r="G8" s="526" t="s">
        <v>545</v>
      </c>
      <c r="H8" s="274">
        <v>5207923292</v>
      </c>
      <c r="Z8" s="263" t="s">
        <v>298</v>
      </c>
    </row>
    <row r="9" spans="1:26" ht="12.75">
      <c r="A9" s="578" t="s">
        <v>288</v>
      </c>
      <c r="B9" s="579"/>
      <c r="C9" s="267" t="s">
        <v>298</v>
      </c>
      <c r="D9" s="267" t="s">
        <v>546</v>
      </c>
      <c r="E9" s="267" t="s">
        <v>547</v>
      </c>
      <c r="F9" s="267"/>
      <c r="G9" s="526" t="s">
        <v>548</v>
      </c>
      <c r="H9" s="274">
        <v>5207923293</v>
      </c>
      <c r="Z9" s="270" t="s">
        <v>299</v>
      </c>
    </row>
    <row r="10" spans="1:8" ht="12.75">
      <c r="A10" s="578" t="s">
        <v>286</v>
      </c>
      <c r="B10" s="579"/>
      <c r="C10" s="267" t="s">
        <v>298</v>
      </c>
      <c r="D10" s="267" t="s">
        <v>549</v>
      </c>
      <c r="E10" s="267" t="s">
        <v>550</v>
      </c>
      <c r="F10" s="267"/>
      <c r="G10" s="526" t="s">
        <v>551</v>
      </c>
      <c r="H10" s="274">
        <v>4809407538</v>
      </c>
    </row>
    <row r="11" spans="1:26" ht="12.75">
      <c r="A11" s="578" t="s">
        <v>285</v>
      </c>
      <c r="B11" s="579"/>
      <c r="C11" s="267" t="s">
        <v>298</v>
      </c>
      <c r="D11" s="267" t="s">
        <v>552</v>
      </c>
      <c r="E11" s="267" t="s">
        <v>553</v>
      </c>
      <c r="F11" s="267"/>
      <c r="G11" s="526" t="s">
        <v>554</v>
      </c>
      <c r="H11" s="274">
        <v>5207923292</v>
      </c>
      <c r="W11" s="85"/>
      <c r="Z11" s="263" t="s">
        <v>309</v>
      </c>
    </row>
    <row r="12" spans="1:26" ht="12.75">
      <c r="A12" s="578" t="s">
        <v>290</v>
      </c>
      <c r="B12" s="579"/>
      <c r="C12" s="267" t="s">
        <v>298</v>
      </c>
      <c r="D12" s="267" t="s">
        <v>555</v>
      </c>
      <c r="E12" s="267" t="s">
        <v>556</v>
      </c>
      <c r="F12" s="267"/>
      <c r="G12" s="526" t="s">
        <v>557</v>
      </c>
      <c r="H12" s="274">
        <v>5207923292</v>
      </c>
      <c r="W12" s="85"/>
      <c r="Z12" s="263" t="s">
        <v>304</v>
      </c>
    </row>
    <row r="13" spans="1:26" ht="12.75">
      <c r="A13" s="578" t="s">
        <v>289</v>
      </c>
      <c r="B13" s="579"/>
      <c r="C13" s="267" t="s">
        <v>298</v>
      </c>
      <c r="D13" s="267" t="s">
        <v>558</v>
      </c>
      <c r="E13" s="267" t="s">
        <v>559</v>
      </c>
      <c r="F13" s="267"/>
      <c r="G13" s="526" t="s">
        <v>560</v>
      </c>
      <c r="H13" s="274">
        <v>5204067813</v>
      </c>
      <c r="W13" s="85"/>
      <c r="Z13" s="263" t="s">
        <v>306</v>
      </c>
    </row>
    <row r="14" spans="1:26" ht="12.75">
      <c r="A14" s="578" t="s">
        <v>289</v>
      </c>
      <c r="B14" s="579"/>
      <c r="C14" s="267"/>
      <c r="D14" s="267"/>
      <c r="E14" s="267"/>
      <c r="F14" s="267"/>
      <c r="G14" s="526"/>
      <c r="H14" s="274"/>
      <c r="W14" s="85"/>
      <c r="Z14" s="263" t="s">
        <v>300</v>
      </c>
    </row>
    <row r="15" spans="1:26" ht="12.75">
      <c r="A15" s="578" t="s">
        <v>289</v>
      </c>
      <c r="B15" s="579"/>
      <c r="C15" s="267" t="s">
        <v>540</v>
      </c>
      <c r="D15" s="267" t="s">
        <v>561</v>
      </c>
      <c r="E15" s="267" t="s">
        <v>562</v>
      </c>
      <c r="F15" s="267"/>
      <c r="G15" s="526" t="s">
        <v>563</v>
      </c>
      <c r="H15" s="274">
        <v>5207923293</v>
      </c>
      <c r="W15" s="85"/>
      <c r="Z15" s="263" t="s">
        <v>305</v>
      </c>
    </row>
    <row r="16" spans="1:26" ht="12.75">
      <c r="A16" s="578" t="s">
        <v>289</v>
      </c>
      <c r="B16" s="579"/>
      <c r="C16" s="267" t="s">
        <v>540</v>
      </c>
      <c r="D16" s="267" t="s">
        <v>564</v>
      </c>
      <c r="E16" s="267" t="s">
        <v>565</v>
      </c>
      <c r="F16" s="267"/>
      <c r="G16" s="526" t="s">
        <v>566</v>
      </c>
      <c r="H16" s="274">
        <v>5208342524</v>
      </c>
      <c r="W16" s="85"/>
      <c r="Z16" s="263" t="s">
        <v>307</v>
      </c>
    </row>
    <row r="17" spans="1:26" ht="12.75">
      <c r="A17" s="578" t="s">
        <v>289</v>
      </c>
      <c r="B17" s="579"/>
      <c r="C17" s="267" t="s">
        <v>540</v>
      </c>
      <c r="D17" s="267" t="s">
        <v>567</v>
      </c>
      <c r="E17" s="267" t="s">
        <v>568</v>
      </c>
      <c r="F17" s="267"/>
      <c r="G17" s="526" t="s">
        <v>569</v>
      </c>
      <c r="H17" s="274">
        <v>5207923293</v>
      </c>
      <c r="W17" s="85"/>
      <c r="Z17" s="263" t="s">
        <v>301</v>
      </c>
    </row>
    <row r="18" spans="1:26" ht="12.75">
      <c r="A18" s="578" t="s">
        <v>289</v>
      </c>
      <c r="B18" s="579"/>
      <c r="C18" s="267"/>
      <c r="D18" s="267"/>
      <c r="E18" s="267"/>
      <c r="F18" s="267"/>
      <c r="G18" s="276"/>
      <c r="H18" s="274"/>
      <c r="W18" s="85"/>
      <c r="Z18" s="263" t="s">
        <v>302</v>
      </c>
    </row>
    <row r="19" spans="1:26" ht="12.75">
      <c r="A19" s="578" t="s">
        <v>289</v>
      </c>
      <c r="B19" s="579"/>
      <c r="C19" s="267"/>
      <c r="D19" s="267"/>
      <c r="E19" s="267"/>
      <c r="F19" s="267"/>
      <c r="G19" s="276"/>
      <c r="H19" s="274"/>
      <c r="W19" s="85"/>
      <c r="Z19" s="263" t="s">
        <v>303</v>
      </c>
    </row>
    <row r="20" spans="1:23" ht="12.75">
      <c r="A20" s="578" t="s">
        <v>289</v>
      </c>
      <c r="B20" s="579"/>
      <c r="C20" s="267"/>
      <c r="D20" s="267"/>
      <c r="E20" s="267"/>
      <c r="F20" s="267"/>
      <c r="G20" s="276"/>
      <c r="H20" s="274"/>
      <c r="W20" s="85"/>
    </row>
    <row r="21" spans="1:23" ht="12.75">
      <c r="A21" s="578" t="s">
        <v>289</v>
      </c>
      <c r="B21" s="579"/>
      <c r="C21" s="267"/>
      <c r="D21" s="267"/>
      <c r="E21" s="267"/>
      <c r="F21" s="267"/>
      <c r="G21" s="276"/>
      <c r="H21" s="274"/>
      <c r="W21" s="85"/>
    </row>
    <row r="22" spans="1:26" ht="12.75">
      <c r="A22" s="85"/>
      <c r="B22" s="85"/>
      <c r="W22" s="85"/>
      <c r="Z22" s="270" t="s">
        <v>312</v>
      </c>
    </row>
    <row r="23" spans="1:26" ht="12.75">
      <c r="A23" s="85"/>
      <c r="B23" s="85"/>
      <c r="C23" s="580" t="s">
        <v>458</v>
      </c>
      <c r="D23" s="580"/>
      <c r="Z23" s="270" t="s">
        <v>313</v>
      </c>
    </row>
    <row r="24" spans="1:26" ht="12.75">
      <c r="A24" s="578" t="s">
        <v>323</v>
      </c>
      <c r="B24" s="579"/>
      <c r="C24" s="586" t="s">
        <v>320</v>
      </c>
      <c r="D24" s="587"/>
      <c r="Z24" s="270" t="s">
        <v>314</v>
      </c>
    </row>
    <row r="25" spans="1:26" ht="12.75">
      <c r="A25" s="85"/>
      <c r="B25" s="85"/>
      <c r="Z25" s="270" t="s">
        <v>315</v>
      </c>
    </row>
    <row r="26" spans="1:26" ht="12.75">
      <c r="A26" s="536" t="s">
        <v>457</v>
      </c>
      <c r="B26" s="585"/>
      <c r="C26" s="583" t="s">
        <v>570</v>
      </c>
      <c r="D26" s="584"/>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7"/>
      <c r="B34" s="577"/>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6">
      <selection activeCell="H15" sqref="H15"/>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8" t="str">
        <f>Cover!D1</f>
        <v>Pima Prevention Partnership</v>
      </c>
      <c r="E1" s="588"/>
      <c r="F1" s="588"/>
      <c r="H1" s="39" t="s">
        <v>53</v>
      </c>
      <c r="I1" s="589" t="str">
        <f>Cover!M1</f>
        <v>PIMA</v>
      </c>
      <c r="J1" s="589"/>
      <c r="L1" s="39" t="s">
        <v>89</v>
      </c>
      <c r="M1" s="590" t="str">
        <f>Cover!R1</f>
        <v>108507000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284753</v>
      </c>
      <c r="G8" s="20">
        <v>91747</v>
      </c>
      <c r="H8" s="20">
        <v>32000</v>
      </c>
      <c r="I8" s="20">
        <v>13500</v>
      </c>
      <c r="J8" s="130">
        <v>1000</v>
      </c>
      <c r="K8" s="132">
        <f>[1]!SP1000P100F1000</f>
        <v>332802</v>
      </c>
      <c r="L8" s="133">
        <f>SUM(F8:J8)</f>
        <v>423000</v>
      </c>
      <c r="M8" s="126">
        <f>IF(K8=0," ",(L8-K8)/K8)</f>
        <v>0.271</v>
      </c>
      <c r="N8" s="2">
        <v>1</v>
      </c>
    </row>
    <row r="9" spans="2:14" ht="12" customHeight="1">
      <c r="B9" s="12" t="s">
        <v>23</v>
      </c>
      <c r="E9" s="3"/>
      <c r="F9" s="97"/>
      <c r="G9" s="97"/>
      <c r="H9" s="97"/>
      <c r="I9" s="97"/>
      <c r="J9" s="99"/>
      <c r="K9" s="54"/>
      <c r="L9" s="54"/>
      <c r="M9" s="54"/>
      <c r="N9" s="2"/>
    </row>
    <row r="10" spans="2:14" ht="12" customHeight="1">
      <c r="B10" s="12" t="s">
        <v>129</v>
      </c>
      <c r="E10" s="3">
        <v>2</v>
      </c>
      <c r="F10" s="20">
        <v>77095</v>
      </c>
      <c r="G10" s="20">
        <v>24840</v>
      </c>
      <c r="H10" s="20">
        <v>19000</v>
      </c>
      <c r="I10" s="20">
        <v>13000</v>
      </c>
      <c r="J10" s="130">
        <v>2000</v>
      </c>
      <c r="K10" s="20">
        <f>[1]!SP1000P100F2100</f>
        <v>91291</v>
      </c>
      <c r="L10" s="6">
        <f>SUM(F10:J10)</f>
        <v>135935</v>
      </c>
      <c r="M10" s="10">
        <f>IF(K10=0," ",(L10-K10)/K10)</f>
        <v>0.489</v>
      </c>
      <c r="N10" s="2">
        <v>2</v>
      </c>
    </row>
    <row r="11" spans="2:14" ht="12" customHeight="1">
      <c r="B11" s="12" t="s">
        <v>147</v>
      </c>
      <c r="E11" s="3">
        <v>3</v>
      </c>
      <c r="F11" s="20">
        <v>51950</v>
      </c>
      <c r="G11" s="20">
        <v>16738</v>
      </c>
      <c r="H11" s="20">
        <v>13000</v>
      </c>
      <c r="I11" s="20">
        <v>12100</v>
      </c>
      <c r="J11" s="20">
        <v>500</v>
      </c>
      <c r="K11" s="20">
        <f>[1]!SP1000P100F2200</f>
        <v>28569</v>
      </c>
      <c r="L11" s="6">
        <f aca="true" t="shared" si="0" ref="L11:L23">SUM(F11:J11)</f>
        <v>94288</v>
      </c>
      <c r="M11" s="10">
        <f aca="true" t="shared" si="1" ref="M11:M23">IF(K11=0," ",(L11-K11)/K11)</f>
        <v>2.3</v>
      </c>
      <c r="N11" s="68">
        <v>3</v>
      </c>
    </row>
    <row r="12" spans="2:14" ht="12" customHeight="1">
      <c r="B12" s="12" t="s">
        <v>24</v>
      </c>
      <c r="E12" s="3">
        <v>4</v>
      </c>
      <c r="F12" s="20"/>
      <c r="G12" s="20"/>
      <c r="H12" s="20">
        <v>10000</v>
      </c>
      <c r="I12" s="20"/>
      <c r="J12" s="20"/>
      <c r="K12" s="21">
        <f>[1]!SP1000P100F2300</f>
        <v>1000</v>
      </c>
      <c r="L12" s="6">
        <f t="shared" si="0"/>
        <v>10000</v>
      </c>
      <c r="M12" s="10">
        <f t="shared" si="1"/>
        <v>9</v>
      </c>
      <c r="N12" s="68">
        <v>4</v>
      </c>
    </row>
    <row r="13" spans="2:14" ht="12" customHeight="1">
      <c r="B13" s="12" t="s">
        <v>25</v>
      </c>
      <c r="E13" s="3">
        <v>5</v>
      </c>
      <c r="F13" s="20">
        <v>62265</v>
      </c>
      <c r="G13" s="20">
        <v>20062</v>
      </c>
      <c r="H13" s="20">
        <v>60500</v>
      </c>
      <c r="I13" s="20">
        <v>10000</v>
      </c>
      <c r="J13" s="20">
        <v>800</v>
      </c>
      <c r="K13" s="21">
        <f>[1]!SP1000P100F2400</f>
        <v>120101</v>
      </c>
      <c r="L13" s="6">
        <f t="shared" si="0"/>
        <v>153627</v>
      </c>
      <c r="M13" s="10">
        <f t="shared" si="1"/>
        <v>0.279</v>
      </c>
      <c r="N13" s="68">
        <v>5</v>
      </c>
    </row>
    <row r="14" spans="2:14" ht="12" customHeight="1">
      <c r="B14" s="12" t="s">
        <v>148</v>
      </c>
      <c r="E14" s="3">
        <v>6</v>
      </c>
      <c r="F14" s="20">
        <v>67500</v>
      </c>
      <c r="G14" s="20">
        <v>21749</v>
      </c>
      <c r="H14" s="20">
        <v>120923</v>
      </c>
      <c r="I14" s="20">
        <v>3300</v>
      </c>
      <c r="J14" s="20">
        <v>1800</v>
      </c>
      <c r="K14" s="21">
        <f>[1]!SP1000P100F2500</f>
        <v>73342</v>
      </c>
      <c r="L14" s="6">
        <f>SUM(F14:J14)</f>
        <v>215272</v>
      </c>
      <c r="M14" s="10">
        <f t="shared" si="1"/>
        <v>1.935</v>
      </c>
      <c r="N14" s="68">
        <v>6</v>
      </c>
    </row>
    <row r="15" spans="2:14" ht="12" customHeight="1">
      <c r="B15" s="12" t="s">
        <v>149</v>
      </c>
      <c r="E15" s="3">
        <v>7</v>
      </c>
      <c r="F15" s="20"/>
      <c r="G15" s="20"/>
      <c r="H15" s="20">
        <v>280862</v>
      </c>
      <c r="I15" s="20">
        <v>7800</v>
      </c>
      <c r="J15" s="20"/>
      <c r="K15" s="21">
        <f>[1]!SP1000P100F2600</f>
        <v>263790</v>
      </c>
      <c r="L15" s="6">
        <f t="shared" si="0"/>
        <v>288662</v>
      </c>
      <c r="M15" s="10">
        <f t="shared" si="1"/>
        <v>0.094</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v>8000</v>
      </c>
      <c r="G17" s="20">
        <v>2578</v>
      </c>
      <c r="H17" s="20">
        <v>78000</v>
      </c>
      <c r="I17" s="20"/>
      <c r="J17" s="20"/>
      <c r="K17" s="21">
        <f>[1]!SP1000P100F3000</f>
        <v>76630</v>
      </c>
      <c r="L17" s="6">
        <f t="shared" si="0"/>
        <v>88578</v>
      </c>
      <c r="M17" s="10">
        <f t="shared" si="1"/>
        <v>0.156</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c r="K19" s="21">
        <f>[1]!SP1000P100F5000</f>
        <v>0</v>
      </c>
      <c r="L19" s="6">
        <f t="shared" si="0"/>
        <v>0</v>
      </c>
      <c r="M19" s="10" t="str">
        <f t="shared" si="1"/>
        <v> </v>
      </c>
      <c r="N19" s="68">
        <v>11</v>
      </c>
    </row>
    <row r="20" spans="1:14" ht="12" customHeight="1">
      <c r="A20" s="12" t="s">
        <v>76</v>
      </c>
      <c r="E20" s="16">
        <v>12</v>
      </c>
      <c r="F20" s="94"/>
      <c r="G20" s="20"/>
      <c r="H20" s="20"/>
      <c r="I20" s="20"/>
      <c r="J20" s="20"/>
      <c r="K20" s="20">
        <f>[1]!SP1000P610</f>
        <v>17000</v>
      </c>
      <c r="L20" s="6">
        <f t="shared" si="0"/>
        <v>0</v>
      </c>
      <c r="M20" s="10">
        <f t="shared" si="1"/>
        <v>-1</v>
      </c>
      <c r="N20" s="68">
        <v>12</v>
      </c>
    </row>
    <row r="21" spans="1:14" ht="12" customHeight="1">
      <c r="A21" s="12" t="s">
        <v>78</v>
      </c>
      <c r="E21" s="16">
        <v>13</v>
      </c>
      <c r="F21" s="94"/>
      <c r="G21" s="20"/>
      <c r="H21" s="20"/>
      <c r="I21" s="20">
        <v>2500</v>
      </c>
      <c r="J21" s="20"/>
      <c r="K21" s="20">
        <f>[1]!SP1000P620</f>
        <v>0</v>
      </c>
      <c r="L21" s="6">
        <f>SUM(F21:J21)</f>
        <v>2500</v>
      </c>
      <c r="M21" s="10" t="str">
        <f t="shared" si="1"/>
        <v> </v>
      </c>
      <c r="N21" s="68">
        <v>13</v>
      </c>
    </row>
    <row r="22" spans="1:14" ht="12" customHeight="1">
      <c r="A22" s="12" t="s">
        <v>77</v>
      </c>
      <c r="E22" s="16">
        <v>14</v>
      </c>
      <c r="F22" s="94"/>
      <c r="G22" s="20"/>
      <c r="H22" s="20">
        <v>10000</v>
      </c>
      <c r="I22" s="20"/>
      <c r="J22" s="20"/>
      <c r="K22" s="20">
        <f>[1]!SP1000P630700800900</f>
        <v>0</v>
      </c>
      <c r="L22" s="6">
        <f t="shared" si="0"/>
        <v>10000</v>
      </c>
      <c r="M22" s="10" t="str">
        <f t="shared" si="1"/>
        <v> </v>
      </c>
      <c r="N22" s="68">
        <v>14</v>
      </c>
    </row>
    <row r="23" spans="1:14" ht="12" customHeight="1">
      <c r="A23" s="26"/>
      <c r="B23" s="26" t="s">
        <v>142</v>
      </c>
      <c r="C23" s="26"/>
      <c r="D23" s="26"/>
      <c r="E23" s="18">
        <v>15</v>
      </c>
      <c r="F23" s="6">
        <f>SUM(F7:F22)</f>
        <v>551563</v>
      </c>
      <c r="G23" s="6">
        <f>SUM(G7:G22)</f>
        <v>177714</v>
      </c>
      <c r="H23" s="6">
        <f>SUM(H7:H22)</f>
        <v>624285</v>
      </c>
      <c r="I23" s="6">
        <f>SUM(I7:I22)</f>
        <v>62200</v>
      </c>
      <c r="J23" s="6">
        <f>SUM(J7:J22)</f>
        <v>6100</v>
      </c>
      <c r="K23" s="127">
        <f>SUM(K8:K22)</f>
        <v>1004525</v>
      </c>
      <c r="L23" s="127">
        <f t="shared" si="0"/>
        <v>1421862</v>
      </c>
      <c r="M23" s="10">
        <f t="shared" si="1"/>
        <v>0.415</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49400</v>
      </c>
      <c r="G25" s="20">
        <v>15947</v>
      </c>
      <c r="H25" s="20"/>
      <c r="I25" s="20">
        <v>2500</v>
      </c>
      <c r="J25" s="130"/>
      <c r="K25" s="20">
        <f>[1]!SP1000P200F1000</f>
        <v>21000</v>
      </c>
      <c r="L25" s="6">
        <f>SUM(F25:J25)</f>
        <v>67847</v>
      </c>
      <c r="M25" s="184">
        <f>IF(K25=0," ",(L25-K25)/K25)</f>
        <v>2.231</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24646</v>
      </c>
      <c r="G27" s="20">
        <v>7941</v>
      </c>
      <c r="H27" s="20">
        <v>12500</v>
      </c>
      <c r="I27" s="20"/>
      <c r="J27" s="130"/>
      <c r="K27" s="20">
        <f>[1]!SP1000P200F2100</f>
        <v>26183</v>
      </c>
      <c r="L27" s="6">
        <f>SUM(F27:J27)</f>
        <v>45087</v>
      </c>
      <c r="M27" s="184">
        <f>IF(K27=0," ",(L27-K27)/K27)</f>
        <v>0.722</v>
      </c>
      <c r="N27" s="68">
        <v>17</v>
      </c>
    </row>
    <row r="28" spans="2:14" ht="12" customHeight="1">
      <c r="B28" s="12" t="s">
        <v>147</v>
      </c>
      <c r="E28" s="16">
        <v>18</v>
      </c>
      <c r="F28" s="20"/>
      <c r="G28" s="20"/>
      <c r="H28" s="20"/>
      <c r="I28" s="20"/>
      <c r="J28" s="20"/>
      <c r="K28" s="20">
        <f>[1]!SP1000P200F2200</f>
        <v>3000</v>
      </c>
      <c r="L28" s="6">
        <f aca="true" t="shared" si="2" ref="L28:L42">SUM(F28:J28)</f>
        <v>0</v>
      </c>
      <c r="M28" s="100">
        <f aca="true" t="shared" si="3" ref="M28:M48">IF(K28=0," ",(L28-K28)/K28)</f>
        <v>-1</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11500</v>
      </c>
      <c r="L30" s="6">
        <f t="shared" si="2"/>
        <v>0</v>
      </c>
      <c r="M30" s="10">
        <f t="shared" si="3"/>
        <v>-1</v>
      </c>
      <c r="N30" s="68">
        <v>20</v>
      </c>
    </row>
    <row r="31" spans="2:14" ht="12" customHeight="1">
      <c r="B31" s="12" t="s">
        <v>148</v>
      </c>
      <c r="E31" s="16">
        <v>21</v>
      </c>
      <c r="F31" s="20"/>
      <c r="G31" s="20"/>
      <c r="H31" s="20"/>
      <c r="I31" s="20"/>
      <c r="J31" s="20"/>
      <c r="K31" s="21">
        <f>[1]!SP1000P200F2500</f>
        <v>16145</v>
      </c>
      <c r="L31" s="6">
        <f>SUM(F31:J31)</f>
        <v>0</v>
      </c>
      <c r="M31" s="10">
        <f t="shared" si="3"/>
        <v>-1</v>
      </c>
      <c r="N31" s="68">
        <v>21</v>
      </c>
    </row>
    <row r="32" spans="2:14" ht="12" customHeight="1">
      <c r="B32" s="12" t="s">
        <v>149</v>
      </c>
      <c r="E32" s="16">
        <v>22</v>
      </c>
      <c r="F32" s="20"/>
      <c r="G32" s="20"/>
      <c r="H32" s="20"/>
      <c r="I32" s="20"/>
      <c r="J32" s="20"/>
      <c r="K32" s="21">
        <f>[1]!SP1000P200F2600</f>
        <v>35000</v>
      </c>
      <c r="L32" s="6">
        <f t="shared" si="2"/>
        <v>0</v>
      </c>
      <c r="M32" s="10">
        <f t="shared" si="3"/>
        <v>-1</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74046</v>
      </c>
      <c r="G37" s="15">
        <f>SUM(G24:G36)</f>
        <v>23888</v>
      </c>
      <c r="H37" s="15">
        <f>SUM(H24:H36)</f>
        <v>12500</v>
      </c>
      <c r="I37" s="15">
        <f>SUM(I24:I36)</f>
        <v>2500</v>
      </c>
      <c r="J37" s="15">
        <f>SUM(J24:J36)</f>
        <v>0</v>
      </c>
      <c r="K37" s="15">
        <f>SUM(K25:K36)</f>
        <v>112828</v>
      </c>
      <c r="L37" s="15">
        <f t="shared" si="2"/>
        <v>112934</v>
      </c>
      <c r="M37" s="100">
        <f t="shared" si="3"/>
        <v>0.001</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c r="I39" s="20">
        <v>22000</v>
      </c>
      <c r="J39" s="20"/>
      <c r="K39" s="20">
        <f>[1]!SP1000P400</f>
        <v>80000</v>
      </c>
      <c r="L39" s="6">
        <f t="shared" si="2"/>
        <v>22000</v>
      </c>
      <c r="M39" s="10">
        <f t="shared" si="3"/>
        <v>-0.725</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0</v>
      </c>
      <c r="L42" s="6">
        <f t="shared" si="2"/>
        <v>0</v>
      </c>
      <c r="M42" s="10" t="str">
        <f t="shared" si="3"/>
        <v> </v>
      </c>
      <c r="N42" s="68">
        <v>31</v>
      </c>
    </row>
    <row r="43" spans="1:14" ht="12" customHeight="1">
      <c r="A43" s="26"/>
      <c r="B43" s="104" t="s">
        <v>265</v>
      </c>
      <c r="C43" s="26"/>
      <c r="D43" s="26"/>
      <c r="E43" s="5">
        <v>32</v>
      </c>
      <c r="F43" s="6">
        <f aca="true" t="shared" si="4" ref="F43:K43">SUM(F37:F42)+F23</f>
        <v>625609</v>
      </c>
      <c r="G43" s="6">
        <f t="shared" si="4"/>
        <v>201602</v>
      </c>
      <c r="H43" s="6">
        <f t="shared" si="4"/>
        <v>636785</v>
      </c>
      <c r="I43" s="6">
        <f t="shared" si="4"/>
        <v>86700</v>
      </c>
      <c r="J43" s="6">
        <f t="shared" si="4"/>
        <v>6100</v>
      </c>
      <c r="K43" s="6">
        <f t="shared" si="4"/>
        <v>1197353</v>
      </c>
      <c r="L43" s="6">
        <f>SUM(F43:J43)</f>
        <v>1556796</v>
      </c>
      <c r="M43" s="10">
        <f t="shared" si="3"/>
        <v>0.3</v>
      </c>
      <c r="N43" s="68">
        <v>32</v>
      </c>
    </row>
    <row r="44" spans="1:14" ht="12" customHeight="1">
      <c r="A44" s="104" t="s">
        <v>257</v>
      </c>
      <c r="B44" s="26"/>
      <c r="C44" s="26"/>
      <c r="D44" s="26"/>
      <c r="E44" s="5">
        <v>33</v>
      </c>
      <c r="F44" s="6">
        <f>TotalCSP6100</f>
        <v>84800</v>
      </c>
      <c r="G44" s="6">
        <f>TotalCSP6200</f>
        <v>27320</v>
      </c>
      <c r="H44" s="6">
        <f>TotalCSP630064006500</f>
        <v>0</v>
      </c>
      <c r="I44" s="6">
        <f>TotalCSP6600</f>
        <v>0</v>
      </c>
      <c r="J44" s="96"/>
      <c r="K44" s="20">
        <f>[1]!SP1000ClassSiteProj</f>
        <v>108297</v>
      </c>
      <c r="L44" s="6">
        <f>SUM(F44:J44)</f>
        <v>112120</v>
      </c>
      <c r="M44" s="10">
        <f t="shared" si="3"/>
        <v>0.035</v>
      </c>
      <c r="N44" s="68">
        <v>33</v>
      </c>
    </row>
    <row r="45" spans="1:14" ht="12" customHeight="1">
      <c r="A45" s="104" t="s">
        <v>258</v>
      </c>
      <c r="B45" s="26"/>
      <c r="C45" s="26"/>
      <c r="D45" s="26"/>
      <c r="E45" s="5">
        <v>34</v>
      </c>
      <c r="F45" s="96"/>
      <c r="G45" s="96"/>
      <c r="H45" s="96"/>
      <c r="I45" s="96"/>
      <c r="J45" s="96"/>
      <c r="K45" s="20">
        <f>[1]!SP1000InstrImpProj</f>
        <v>10066</v>
      </c>
      <c r="L45" s="6">
        <f>TotalInstructionalImprovement</f>
        <v>8693</v>
      </c>
      <c r="M45" s="10">
        <f t="shared" si="3"/>
        <v>-0.136</v>
      </c>
      <c r="N45" s="68">
        <v>34</v>
      </c>
    </row>
    <row r="46" spans="1:14" ht="12" customHeight="1">
      <c r="A46" s="104" t="s">
        <v>492</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189635</v>
      </c>
      <c r="L48" s="6">
        <f>FederalandStateProjectsTotal</f>
        <v>188366</v>
      </c>
      <c r="M48" s="10">
        <f t="shared" si="3"/>
        <v>-0.007</v>
      </c>
      <c r="N48" s="68">
        <v>37</v>
      </c>
    </row>
    <row r="49" spans="1:14" ht="12" customHeight="1">
      <c r="A49" s="72"/>
      <c r="B49" s="104" t="s">
        <v>272</v>
      </c>
      <c r="C49" s="26"/>
      <c r="D49" s="26"/>
      <c r="E49" s="5">
        <v>38</v>
      </c>
      <c r="F49" s="11">
        <f>SUM(F43+F44+F46+F47)</f>
        <v>710409</v>
      </c>
      <c r="G49" s="11">
        <f>SUM(G43+G44+G46+G47)</f>
        <v>228922</v>
      </c>
      <c r="H49" s="11">
        <f>SUM(H43+H44+H46+H47)</f>
        <v>636785</v>
      </c>
      <c r="I49" s="11">
        <f>SUM(I43+I44+I46+I47)</f>
        <v>86700</v>
      </c>
      <c r="J49" s="11">
        <f>SUM(J43+J46+J47)</f>
        <v>6100</v>
      </c>
      <c r="K49" s="8">
        <f>SUM(K43:K48)</f>
        <v>1505351</v>
      </c>
      <c r="L49" s="8">
        <f>SUM(L43:L48)</f>
        <v>1865975</v>
      </c>
      <c r="M49" s="10">
        <f>IF(K49=0," ",(L49-K49)/K49)</f>
        <v>0.24</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0">
      <selection activeCell="L22" sqref="L22"/>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3" t="str">
        <f>Cover!D1</f>
        <v>Pima Prevention Partnership</v>
      </c>
      <c r="D1" s="594"/>
      <c r="E1" s="594"/>
      <c r="F1" s="594"/>
      <c r="H1" s="36" t="s">
        <v>1</v>
      </c>
      <c r="I1" s="595" t="str">
        <f>Cover!M1</f>
        <v>PIMA</v>
      </c>
      <c r="J1" s="580"/>
      <c r="K1" s="580"/>
      <c r="M1" s="36" t="s">
        <v>89</v>
      </c>
      <c r="N1" s="207" t="str">
        <f>Cover!R1</f>
        <v>108507000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6" t="s">
        <v>73</v>
      </c>
      <c r="B3" s="546"/>
      <c r="C3" s="546"/>
      <c r="D3" s="220"/>
      <c r="E3" s="220"/>
      <c r="H3" s="211" t="s">
        <v>56</v>
      </c>
      <c r="I3" s="204"/>
      <c r="J3" s="204"/>
      <c r="K3" s="204"/>
      <c r="L3" s="204"/>
      <c r="M3" s="204"/>
      <c r="N3" s="204"/>
      <c r="P3" s="85"/>
      <c r="Q3" s="592"/>
      <c r="R3" s="592"/>
      <c r="S3" s="85"/>
      <c r="T3" s="85"/>
      <c r="U3" s="85"/>
      <c r="V3" s="85"/>
      <c r="W3" s="85"/>
      <c r="X3" s="85"/>
    </row>
    <row r="4" spans="1:24" ht="40.5" customHeight="1">
      <c r="A4" t="s">
        <v>31</v>
      </c>
      <c r="D4" s="106" t="s">
        <v>493</v>
      </c>
      <c r="E4" s="106" t="s">
        <v>494</v>
      </c>
      <c r="H4" s="29"/>
      <c r="I4" s="29"/>
      <c r="J4" s="29"/>
      <c r="K4" s="29"/>
      <c r="M4" s="106" t="s">
        <v>495</v>
      </c>
      <c r="N4" s="106" t="s">
        <v>496</v>
      </c>
      <c r="P4" s="85"/>
      <c r="Q4" s="592"/>
      <c r="R4" s="592"/>
      <c r="S4" s="85"/>
      <c r="T4" s="85"/>
      <c r="U4" s="85"/>
      <c r="V4" s="85"/>
      <c r="W4" s="85"/>
      <c r="X4" s="85"/>
    </row>
    <row r="5" spans="1:24" ht="12" customHeight="1">
      <c r="A5" s="116">
        <v>1</v>
      </c>
      <c r="B5" s="118" t="s">
        <v>179</v>
      </c>
      <c r="C5" s="117"/>
      <c r="D5" s="111">
        <f>[1]!FP11001130TitleI</f>
        <v>143771</v>
      </c>
      <c r="E5" s="111">
        <f>93876+54813</f>
        <v>148689</v>
      </c>
      <c r="F5" s="27">
        <v>1</v>
      </c>
      <c r="G5" s="120">
        <v>1</v>
      </c>
      <c r="H5" s="216" t="s">
        <v>262</v>
      </c>
      <c r="I5" s="216"/>
      <c r="J5" s="233"/>
      <c r="K5" s="117"/>
      <c r="M5" s="112">
        <f>'[1]Page 2'!$N$5</f>
        <v>112828</v>
      </c>
      <c r="N5" s="112">
        <f>'Page 1'!L37</f>
        <v>112934</v>
      </c>
      <c r="O5" s="27">
        <v>1</v>
      </c>
      <c r="P5" s="85"/>
      <c r="Q5" s="85"/>
      <c r="R5" s="219"/>
      <c r="S5" s="219"/>
      <c r="T5" s="85"/>
      <c r="U5" s="85"/>
      <c r="V5" s="85"/>
      <c r="W5" s="85"/>
      <c r="X5" s="85"/>
    </row>
    <row r="6" spans="1:24" ht="12" customHeight="1">
      <c r="A6" s="116">
        <v>2</v>
      </c>
      <c r="B6" s="118" t="s">
        <v>180</v>
      </c>
      <c r="C6" s="117"/>
      <c r="D6" s="111">
        <f>[1]!FP11401150TitleII</f>
        <v>4651</v>
      </c>
      <c r="E6" s="111">
        <v>4363</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10000</v>
      </c>
      <c r="E7" s="111">
        <v>10000</v>
      </c>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3569</v>
      </c>
      <c r="E9" s="111">
        <v>900</v>
      </c>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497</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27644</v>
      </c>
      <c r="E12" s="111">
        <v>24414</v>
      </c>
      <c r="F12" s="27">
        <v>8</v>
      </c>
      <c r="G12" s="120">
        <v>8</v>
      </c>
      <c r="H12" s="216" t="s">
        <v>261</v>
      </c>
      <c r="I12" s="216"/>
      <c r="J12" s="233"/>
      <c r="K12" s="117"/>
      <c r="M12" s="235">
        <f>SUM(M5:M11)</f>
        <v>112828</v>
      </c>
      <c r="N12" s="235">
        <f>IF(SUM(N5:N11)=SUM('Page 1'!L37),SUM(N5:N11),"Invalid")</f>
        <v>112934</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8" t="s">
        <v>498</v>
      </c>
      <c r="N16" s="598" t="s">
        <v>494</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10066</v>
      </c>
      <c r="N20" s="112">
        <v>8693</v>
      </c>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189635</v>
      </c>
      <c r="E22" s="115">
        <f>SUM(E5:E21)</f>
        <v>188366</v>
      </c>
      <c r="F22" s="27">
        <v>18</v>
      </c>
      <c r="G22" s="116" t="s">
        <v>107</v>
      </c>
      <c r="H22" s="121" t="s">
        <v>135</v>
      </c>
      <c r="I22" s="121"/>
      <c r="J22" s="117"/>
      <c r="K22" s="117"/>
      <c r="M22" s="115">
        <f>SUM(M18:M21)</f>
        <v>10066</v>
      </c>
      <c r="N22" s="115">
        <f>SUM(N18:N21)</f>
        <v>8693</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11</v>
      </c>
      <c r="L26" s="43" t="s">
        <v>40</v>
      </c>
      <c r="N26" s="23">
        <v>15000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6</v>
      </c>
      <c r="K27" s="117"/>
      <c r="L27" s="107" t="s">
        <v>41</v>
      </c>
      <c r="N27" s="23">
        <f>SP1000P100F1000+SP1000P200F1000+'Page 3'!K23+'Page 3'!K40+'Page 3'!K58+IIPDropoutPreventionPrograms+120000+8000+15000</f>
        <v>754660</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7010</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189635</v>
      </c>
      <c r="E37" s="115">
        <f>E22+E36</f>
        <v>188366</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6" t="s">
        <v>214</v>
      </c>
      <c r="C47" s="597"/>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31">
      <selection activeCell="G32" sqref="G32"/>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Pima Prevention Partnership</v>
      </c>
      <c r="E1" s="13"/>
      <c r="F1" s="39" t="s">
        <v>53</v>
      </c>
      <c r="G1" s="31" t="str">
        <f>Cover!M1</f>
        <v>PIMA</v>
      </c>
      <c r="H1" s="77"/>
      <c r="I1" s="77"/>
      <c r="J1" s="77"/>
      <c r="K1" s="39" t="s">
        <v>89</v>
      </c>
      <c r="L1" s="206" t="str">
        <f>Cover!R1</f>
        <v>108507000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16800</v>
      </c>
      <c r="G9" s="130">
        <v>5413</v>
      </c>
      <c r="H9" s="96"/>
      <c r="I9" s="96"/>
      <c r="J9" s="94">
        <f>[1]!CSP1011P100F1000</f>
        <v>21261</v>
      </c>
      <c r="K9" s="131">
        <f>SUM(F7:G9)</f>
        <v>22213</v>
      </c>
      <c r="L9" s="10">
        <f>IF(J9=0," ",(K9-J9)/J9)</f>
        <v>0.045</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16800</v>
      </c>
      <c r="G12" s="6">
        <f>SUM(G7:G11)</f>
        <v>5413</v>
      </c>
      <c r="H12" s="238"/>
      <c r="I12" s="238"/>
      <c r="J12" s="127">
        <f>SUM(J8:J11)</f>
        <v>21261</v>
      </c>
      <c r="K12" s="127">
        <f>SUM(K8:K11)</f>
        <v>22213</v>
      </c>
      <c r="L12" s="126">
        <f>IF(J12=0," ",(K12-J12)/J12)</f>
        <v>0.045</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16800</v>
      </c>
      <c r="G23" s="15">
        <f>G12+G17+G22</f>
        <v>5413</v>
      </c>
      <c r="H23" s="228"/>
      <c r="I23" s="228"/>
      <c r="J23" s="15">
        <f>J12+J17+J22</f>
        <v>21261</v>
      </c>
      <c r="K23" s="15">
        <f>K12+K17+K22</f>
        <v>22213</v>
      </c>
      <c r="L23" s="10">
        <f>IF(J23=0," ",(K23-J23)/J23)</f>
        <v>0.045</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35000</v>
      </c>
      <c r="G26" s="130">
        <v>11274</v>
      </c>
      <c r="H26" s="241"/>
      <c r="I26" s="96"/>
      <c r="J26" s="94">
        <f>[1]!CSP1012P100F1000</f>
        <v>43186</v>
      </c>
      <c r="K26" s="131">
        <f>SUM(F24:G26)</f>
        <v>46274</v>
      </c>
      <c r="L26" s="10">
        <f>IF(J26=0," ",(K26-J26)/J26)</f>
        <v>0.072</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35000</v>
      </c>
      <c r="G29" s="6">
        <f>SUM(G24:G28)</f>
        <v>11274</v>
      </c>
      <c r="H29" s="228"/>
      <c r="I29" s="228"/>
      <c r="J29" s="97">
        <f>SUM(J25:J28)</f>
        <v>43186</v>
      </c>
      <c r="K29" s="97">
        <f>SUM(K25:K28)</f>
        <v>46274</v>
      </c>
      <c r="L29" s="126">
        <f>IF(J29=0," ",(K29-J29)/J29)</f>
        <v>0.072</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v>0</v>
      </c>
      <c r="G36" s="130">
        <v>0</v>
      </c>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35000</v>
      </c>
      <c r="G40" s="6">
        <f>G29+G34+G39</f>
        <v>11274</v>
      </c>
      <c r="H40" s="96"/>
      <c r="I40" s="96"/>
      <c r="J40" s="6">
        <f>J29+J34+J39</f>
        <v>43186</v>
      </c>
      <c r="K40" s="6">
        <f>K29+K34+K39</f>
        <v>46274</v>
      </c>
      <c r="L40" s="10">
        <f>IF(J40=0," ",(K40-J40)/J40)</f>
        <v>0.072</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33000</v>
      </c>
      <c r="G43" s="20">
        <v>10633</v>
      </c>
      <c r="H43" s="20"/>
      <c r="I43" s="130"/>
      <c r="J43" s="20">
        <f>[1]!CSP1013P100F1000</f>
        <v>43850</v>
      </c>
      <c r="K43" s="6">
        <f>SUM(F43:I43)</f>
        <v>43633</v>
      </c>
      <c r="L43" s="10">
        <f>IF(J43=0," ",(K43-J43)/J43)</f>
        <v>-0.005</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33000</v>
      </c>
      <c r="G46" s="6">
        <f>SUM(G41:G45)</f>
        <v>10633</v>
      </c>
      <c r="H46" s="6">
        <f>SUM(H41:H45)</f>
        <v>0</v>
      </c>
      <c r="I46" s="6">
        <f>SUM(I41:I45)</f>
        <v>0</v>
      </c>
      <c r="J46" s="127">
        <f>SUM(J42:J45)</f>
        <v>43850</v>
      </c>
      <c r="K46" s="127">
        <f>SUM(F46:I46)</f>
        <v>43633</v>
      </c>
      <c r="L46" s="126">
        <f>IF(J46=0," ",(K46-J46)/J46)</f>
        <v>-0.005</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33000</v>
      </c>
      <c r="G58" s="6">
        <f>G46+G51+G52+G53+G57</f>
        <v>10633</v>
      </c>
      <c r="H58" s="6">
        <f>H46+H51+H52+H53+H57</f>
        <v>0</v>
      </c>
      <c r="I58" s="6">
        <f>I46+I51+I52+I53+I57</f>
        <v>0</v>
      </c>
      <c r="J58" s="6">
        <f>J46+J51+J53+J57</f>
        <v>43850</v>
      </c>
      <c r="K58" s="6">
        <f>K46+K51+K53+K57</f>
        <v>43633</v>
      </c>
      <c r="L58" s="10">
        <f t="shared" si="0"/>
        <v>-0.005</v>
      </c>
      <c r="M58" s="68">
        <v>39</v>
      </c>
    </row>
    <row r="59" spans="1:13" ht="12.75">
      <c r="A59" s="105" t="s">
        <v>255</v>
      </c>
      <c r="B59" s="72"/>
      <c r="C59" s="72"/>
      <c r="D59" s="72"/>
      <c r="E59" s="17">
        <v>40</v>
      </c>
      <c r="F59" s="24">
        <f>F23+F40+F58</f>
        <v>84800</v>
      </c>
      <c r="G59" s="24">
        <f>G23+G40+G58</f>
        <v>27320</v>
      </c>
      <c r="H59" s="25">
        <f>H58</f>
        <v>0</v>
      </c>
      <c r="I59" s="25">
        <f>I58</f>
        <v>0</v>
      </c>
      <c r="J59" s="25">
        <f>J23+J40+J58</f>
        <v>108297</v>
      </c>
      <c r="K59" s="24">
        <f>SUM(F59:I59)</f>
        <v>112120</v>
      </c>
      <c r="L59" s="10">
        <f t="shared" si="0"/>
        <v>0.035</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2" t="str">
        <f>Cover!D1</f>
        <v>Pima Prevention Partnership</v>
      </c>
      <c r="E1" s="602"/>
      <c r="F1" s="602"/>
      <c r="G1" s="13"/>
      <c r="H1" s="12"/>
      <c r="I1" s="39" t="s">
        <v>53</v>
      </c>
      <c r="J1" s="590" t="str">
        <f>Cover!M1</f>
        <v>PIMA</v>
      </c>
      <c r="K1" s="590"/>
      <c r="L1" s="12"/>
      <c r="M1" s="39" t="s">
        <v>89</v>
      </c>
      <c r="N1" s="590" t="str">
        <f>Cover!R1</f>
        <v>108507000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499</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3" t="s">
        <v>500</v>
      </c>
      <c r="B1" s="563"/>
      <c r="C1" s="563"/>
      <c r="D1" s="563"/>
      <c r="E1" s="563"/>
      <c r="F1" s="563"/>
      <c r="G1" s="563"/>
      <c r="H1" s="563"/>
      <c r="I1" s="563"/>
      <c r="J1" s="563"/>
      <c r="K1" s="146" t="s">
        <v>190</v>
      </c>
      <c r="L1" s="147" t="str">
        <f>[0]!CTD</f>
        <v>108507000</v>
      </c>
    </row>
    <row r="2" ht="3.75" customHeight="1"/>
    <row r="3" spans="1:13" ht="12" customHeight="1">
      <c r="A3" s="163" t="s">
        <v>211</v>
      </c>
      <c r="B3" s="164"/>
      <c r="C3" s="164"/>
      <c r="D3" s="616" t="s">
        <v>61</v>
      </c>
      <c r="E3" s="617"/>
      <c r="F3" s="158" t="s">
        <v>63</v>
      </c>
      <c r="H3" s="607"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Pima Prevention Partnership (d.b.a. ACHS) for fiscal year 2020 was officially proposed by the Governing Board on June 25, 2019. The complete budget may be reviewed by contacting Ian Kidd at 5203262528 or ikidd@thepartnership.us.</v>
      </c>
      <c r="I3" s="608"/>
      <c r="J3" s="608"/>
      <c r="K3" s="608"/>
      <c r="L3" s="608"/>
      <c r="M3" s="609"/>
    </row>
    <row r="4" spans="1:13" ht="12" customHeight="1">
      <c r="A4" s="165"/>
      <c r="D4" s="158" t="s">
        <v>243</v>
      </c>
      <c r="E4" s="158" t="s">
        <v>55</v>
      </c>
      <c r="F4" s="166" t="s">
        <v>64</v>
      </c>
      <c r="H4" s="610"/>
      <c r="I4" s="611"/>
      <c r="J4" s="611"/>
      <c r="K4" s="611"/>
      <c r="L4" s="611"/>
      <c r="M4" s="612"/>
    </row>
    <row r="5" spans="1:13" ht="12" customHeight="1">
      <c r="A5" s="165" t="s">
        <v>21</v>
      </c>
      <c r="D5" s="517">
        <v>2019</v>
      </c>
      <c r="E5" s="517">
        <v>2020</v>
      </c>
      <c r="F5" s="167" t="s">
        <v>65</v>
      </c>
      <c r="H5" s="610"/>
      <c r="I5" s="611"/>
      <c r="J5" s="611"/>
      <c r="K5" s="611"/>
      <c r="L5" s="611"/>
      <c r="M5" s="612"/>
    </row>
    <row r="6" spans="1:13" ht="12" customHeight="1">
      <c r="A6" s="165"/>
      <c r="B6" s="145" t="s">
        <v>22</v>
      </c>
      <c r="D6" s="149">
        <f>SP1000P100F1000CY</f>
        <v>332802</v>
      </c>
      <c r="E6" s="149">
        <f>SP1000P100F1000</f>
        <v>423000</v>
      </c>
      <c r="F6" s="168">
        <f>IF(D6=0," ",(E6-D6)/D6)</f>
        <v>0.271</v>
      </c>
      <c r="H6" s="610"/>
      <c r="I6" s="611"/>
      <c r="J6" s="611"/>
      <c r="K6" s="611"/>
      <c r="L6" s="611"/>
      <c r="M6" s="612"/>
    </row>
    <row r="7" spans="1:13" ht="12" customHeight="1">
      <c r="A7" s="165"/>
      <c r="B7" s="145" t="s">
        <v>23</v>
      </c>
      <c r="D7" s="150"/>
      <c r="E7" s="186"/>
      <c r="F7" s="187"/>
      <c r="H7" s="613"/>
      <c r="I7" s="614"/>
      <c r="J7" s="614"/>
      <c r="K7" s="614"/>
      <c r="L7" s="614"/>
      <c r="M7" s="615"/>
    </row>
    <row r="8" spans="1:11" ht="12" customHeight="1">
      <c r="A8" s="165"/>
      <c r="C8" s="145" t="s">
        <v>191</v>
      </c>
      <c r="D8" s="151">
        <f>SP1000P100F2100CY</f>
        <v>91291</v>
      </c>
      <c r="E8" s="185">
        <f>SP1000P100F2100</f>
        <v>135935</v>
      </c>
      <c r="F8" s="169">
        <f>IF(D8=0," ",(E8-D8)/D8)</f>
        <v>0.489</v>
      </c>
      <c r="H8" s="162"/>
      <c r="I8" s="162"/>
      <c r="J8" s="162"/>
      <c r="K8" s="162"/>
    </row>
    <row r="9" spans="1:13" ht="12" customHeight="1">
      <c r="A9" s="165"/>
      <c r="C9" s="145" t="s">
        <v>192</v>
      </c>
      <c r="D9" s="148">
        <f>SP1000P100F2200CY</f>
        <v>28569</v>
      </c>
      <c r="E9" s="148">
        <f>SP1000P100F2200</f>
        <v>94288</v>
      </c>
      <c r="F9" s="172">
        <f>IF(D9=0," ",(E9-D9)/D9)</f>
        <v>2.3</v>
      </c>
      <c r="H9" s="174"/>
      <c r="I9" s="164"/>
      <c r="J9" s="175"/>
      <c r="K9" s="618" t="s">
        <v>61</v>
      </c>
      <c r="L9" s="619"/>
      <c r="M9" s="158" t="s">
        <v>63</v>
      </c>
    </row>
    <row r="10" spans="1:13" ht="12" customHeight="1">
      <c r="A10" s="165"/>
      <c r="C10" s="145" t="s">
        <v>193</v>
      </c>
      <c r="D10" s="148">
        <f>SP1000P100F2300CY</f>
        <v>1000</v>
      </c>
      <c r="E10" s="148">
        <f>SP1000P100F2300</f>
        <v>10000</v>
      </c>
      <c r="F10" s="168">
        <f aca="true" t="shared" si="0" ref="F10:F21">IF(D10=0," ",(E10-D10)/D10)</f>
        <v>9</v>
      </c>
      <c r="H10" s="176" t="s">
        <v>205</v>
      </c>
      <c r="I10" s="180"/>
      <c r="J10" s="181"/>
      <c r="K10" s="158" t="s">
        <v>243</v>
      </c>
      <c r="L10" s="158" t="s">
        <v>55</v>
      </c>
      <c r="M10" s="166" t="s">
        <v>64</v>
      </c>
    </row>
    <row r="11" spans="1:13" ht="12" customHeight="1">
      <c r="A11" s="165"/>
      <c r="C11" s="145" t="s">
        <v>194</v>
      </c>
      <c r="D11" s="148">
        <f>SP1000P100F2400CY</f>
        <v>120101</v>
      </c>
      <c r="E11" s="148">
        <f>SP1000P100F2400</f>
        <v>153627</v>
      </c>
      <c r="F11" s="168">
        <f t="shared" si="0"/>
        <v>0.279</v>
      </c>
      <c r="H11" s="177"/>
      <c r="I11" s="182"/>
      <c r="J11" s="152"/>
      <c r="K11" s="517">
        <v>2019</v>
      </c>
      <c r="L11" s="517">
        <v>2020</v>
      </c>
      <c r="M11" s="167" t="s">
        <v>65</v>
      </c>
    </row>
    <row r="12" spans="1:13" ht="12" customHeight="1">
      <c r="A12" s="165"/>
      <c r="C12" s="145" t="s">
        <v>195</v>
      </c>
      <c r="D12" s="148">
        <f>SP1000P100F2500CY</f>
        <v>73342</v>
      </c>
      <c r="E12" s="148">
        <f>SP1000P100F2500</f>
        <v>215272</v>
      </c>
      <c r="F12" s="168">
        <f t="shared" si="0"/>
        <v>1.935</v>
      </c>
      <c r="H12" s="178" t="s">
        <v>262</v>
      </c>
      <c r="I12" s="146"/>
      <c r="J12" s="181"/>
      <c r="K12" s="149">
        <f>'Page 2'!M5</f>
        <v>112828</v>
      </c>
      <c r="L12" s="149">
        <f>'Page 2'!N5</f>
        <v>112934</v>
      </c>
      <c r="M12" s="168">
        <f aca="true" t="shared" si="1" ref="M12:M19">IF(K12=0," ",(L12-K12)/K12)</f>
        <v>0.001</v>
      </c>
    </row>
    <row r="13" spans="1:13" ht="12" customHeight="1">
      <c r="A13" s="165"/>
      <c r="C13" s="145" t="s">
        <v>196</v>
      </c>
      <c r="D13" s="148">
        <f>SP1000P100F2600CY</f>
        <v>263790</v>
      </c>
      <c r="E13" s="148">
        <f>SP1000P100F2600</f>
        <v>288662</v>
      </c>
      <c r="F13" s="168">
        <f t="shared" si="0"/>
        <v>0.094</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76630</v>
      </c>
      <c r="E15" s="148">
        <f>SP1000P100F3000</f>
        <v>88578</v>
      </c>
      <c r="F15" s="168">
        <f t="shared" si="0"/>
        <v>0.156</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0</v>
      </c>
      <c r="E17" s="148">
        <f>SP1000P100F5000</f>
        <v>0</v>
      </c>
      <c r="F17" s="168" t="str">
        <f t="shared" si="0"/>
        <v> </v>
      </c>
      <c r="H17" s="518" t="s">
        <v>497</v>
      </c>
      <c r="I17" s="146"/>
      <c r="J17" s="181"/>
      <c r="K17" s="148">
        <f>P200VocationalandTechnologicalEdCY</f>
        <v>0</v>
      </c>
      <c r="L17" s="148">
        <f>P200VocationalandTechnologicalEd</f>
        <v>0</v>
      </c>
      <c r="M17" s="168" t="str">
        <f t="shared" si="1"/>
        <v> </v>
      </c>
    </row>
    <row r="18" spans="1:13" ht="12" customHeight="1">
      <c r="A18" s="165" t="s">
        <v>76</v>
      </c>
      <c r="D18" s="148">
        <f>SP1000P610CY</f>
        <v>17000</v>
      </c>
      <c r="E18" s="148">
        <f>SP1000P610</f>
        <v>0</v>
      </c>
      <c r="F18" s="168">
        <f t="shared" si="0"/>
        <v>-1</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2500</v>
      </c>
      <c r="F19" s="168" t="str">
        <f t="shared" si="0"/>
        <v> </v>
      </c>
      <c r="H19" s="620" t="s">
        <v>202</v>
      </c>
      <c r="I19" s="621"/>
      <c r="J19" s="621"/>
      <c r="K19" s="148">
        <f>SUM(K12:K18)</f>
        <v>112828</v>
      </c>
      <c r="L19" s="148">
        <f>SUM(L12:L18)</f>
        <v>112934</v>
      </c>
      <c r="M19" s="171">
        <f t="shared" si="1"/>
        <v>0.001</v>
      </c>
    </row>
    <row r="20" spans="1:13" ht="12" customHeight="1">
      <c r="A20" s="165" t="s">
        <v>77</v>
      </c>
      <c r="D20" s="148">
        <f>SP1000P630700800900CY</f>
        <v>0</v>
      </c>
      <c r="E20" s="148">
        <f>SP1000P630700800900</f>
        <v>10000</v>
      </c>
      <c r="F20" s="168" t="str">
        <f t="shared" si="0"/>
        <v> </v>
      </c>
      <c r="H20" s="146"/>
      <c r="I20" s="146"/>
      <c r="K20" s="224"/>
      <c r="L20" s="224"/>
      <c r="M20" s="225"/>
    </row>
    <row r="21" spans="1:13" ht="12" customHeight="1">
      <c r="A21" s="170"/>
      <c r="B21" s="147" t="s">
        <v>198</v>
      </c>
      <c r="C21" s="152"/>
      <c r="D21" s="148">
        <f>SUM(D6:D20)</f>
        <v>1004525</v>
      </c>
      <c r="E21" s="148">
        <f>SUM(E6:E20)</f>
        <v>1421862</v>
      </c>
      <c r="F21" s="168">
        <f t="shared" si="0"/>
        <v>0.415</v>
      </c>
      <c r="H21" s="603" t="s">
        <v>210</v>
      </c>
      <c r="I21" s="604"/>
      <c r="J21" s="604"/>
      <c r="K21" s="604"/>
      <c r="L21" s="605"/>
      <c r="M21" s="225"/>
    </row>
    <row r="22" spans="1:13" ht="12" customHeight="1">
      <c r="A22" s="165" t="s">
        <v>28</v>
      </c>
      <c r="D22" s="150"/>
      <c r="E22" s="186"/>
      <c r="F22" s="187"/>
      <c r="H22" s="165"/>
      <c r="J22" s="624" t="s">
        <v>61</v>
      </c>
      <c r="K22" s="625"/>
      <c r="L22" s="166" t="s">
        <v>63</v>
      </c>
      <c r="M22" s="225"/>
    </row>
    <row r="23" spans="1:13" ht="12" customHeight="1">
      <c r="A23" s="165"/>
      <c r="B23" s="145" t="s">
        <v>22</v>
      </c>
      <c r="D23" s="153">
        <f>SP1000P200F1000CY</f>
        <v>21000</v>
      </c>
      <c r="E23" s="188">
        <f>SP1000P200F1000</f>
        <v>67847</v>
      </c>
      <c r="F23" s="169">
        <f>IF(D23=0," ",(E23-D23)/D23)</f>
        <v>2.231</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26183</v>
      </c>
      <c r="E25" s="149">
        <f>SP1000P200F2100</f>
        <v>45087</v>
      </c>
      <c r="F25" s="169">
        <f aca="true" t="shared" si="2" ref="F25:F41">IF(D25=0," ",(E25-D25)/D25)</f>
        <v>0.722</v>
      </c>
      <c r="H25" s="173" t="s">
        <v>206</v>
      </c>
      <c r="I25" s="155"/>
      <c r="J25" s="149">
        <f>SP1000TotalCY</f>
        <v>1197353</v>
      </c>
      <c r="K25" s="149">
        <f>SP1000Total</f>
        <v>1556796</v>
      </c>
      <c r="L25" s="171">
        <f>IF(J25=0," ",(K25-J25)/J25)</f>
        <v>0.3</v>
      </c>
      <c r="M25" s="225"/>
    </row>
    <row r="26" spans="1:13" ht="12" customHeight="1">
      <c r="A26" s="165"/>
      <c r="C26" s="145" t="s">
        <v>192</v>
      </c>
      <c r="D26" s="149">
        <f>SP1000P200F2200CY</f>
        <v>3000</v>
      </c>
      <c r="E26" s="149">
        <f>SP1000P200F2200</f>
        <v>0</v>
      </c>
      <c r="F26" s="172">
        <f t="shared" si="2"/>
        <v>-1</v>
      </c>
      <c r="H26" s="173" t="s">
        <v>203</v>
      </c>
      <c r="I26" s="155"/>
      <c r="J26" s="148">
        <f>SP1000ClassSiteProjCY</f>
        <v>108297</v>
      </c>
      <c r="K26" s="148">
        <f>SP1000ClassSiteProj</f>
        <v>112120</v>
      </c>
      <c r="L26" s="171">
        <f aca="true" t="shared" si="3" ref="L26:L33">IF(J26=0," ",(K26-J26)/J26)</f>
        <v>0.035</v>
      </c>
      <c r="M26" s="225"/>
    </row>
    <row r="27" spans="1:13" ht="12" customHeight="1">
      <c r="A27" s="165"/>
      <c r="C27" s="145" t="s">
        <v>193</v>
      </c>
      <c r="D27" s="149">
        <f>SP1000P200F2300CY</f>
        <v>0</v>
      </c>
      <c r="E27" s="149">
        <f>SP1000P200F2300</f>
        <v>0</v>
      </c>
      <c r="F27" s="168" t="str">
        <f t="shared" si="2"/>
        <v> </v>
      </c>
      <c r="H27" s="173" t="s">
        <v>212</v>
      </c>
      <c r="I27" s="155"/>
      <c r="J27" s="148">
        <f>SP1000InstrImpProjCY</f>
        <v>10066</v>
      </c>
      <c r="K27" s="148">
        <f>SP1000InstrImpProj</f>
        <v>8693</v>
      </c>
      <c r="L27" s="171">
        <f t="shared" si="3"/>
        <v>-0.136</v>
      </c>
      <c r="M27" s="225"/>
    </row>
    <row r="28" spans="1:13" ht="12" customHeight="1">
      <c r="A28" s="165"/>
      <c r="C28" s="145" t="s">
        <v>194</v>
      </c>
      <c r="D28" s="149">
        <f>SP1000P200F2400CY</f>
        <v>11500</v>
      </c>
      <c r="E28" s="149">
        <f>SP1000P200F2400</f>
        <v>0</v>
      </c>
      <c r="F28" s="168">
        <f t="shared" si="2"/>
        <v>-1</v>
      </c>
      <c r="H28" s="105" t="s">
        <v>501</v>
      </c>
      <c r="I28" s="155"/>
      <c r="J28" s="148">
        <f>SP1000StruEngImmProjCY</f>
        <v>0</v>
      </c>
      <c r="K28" s="148">
        <f>SP1000StruEngImmProj</f>
        <v>0</v>
      </c>
      <c r="L28" s="171" t="str">
        <f t="shared" si="3"/>
        <v> </v>
      </c>
      <c r="M28" s="225"/>
    </row>
    <row r="29" spans="1:13" ht="12" customHeight="1">
      <c r="A29" s="165"/>
      <c r="C29" s="145" t="s">
        <v>195</v>
      </c>
      <c r="D29" s="149">
        <f>SP1000P200F2500CY</f>
        <v>16145</v>
      </c>
      <c r="E29" s="149">
        <f>SP1000P200F2500</f>
        <v>0</v>
      </c>
      <c r="F29" s="168">
        <f t="shared" si="2"/>
        <v>-1</v>
      </c>
      <c r="H29" s="173" t="s">
        <v>146</v>
      </c>
      <c r="I29" s="155"/>
      <c r="J29" s="148">
        <f>SP1000CompInstrProjCY</f>
        <v>0</v>
      </c>
      <c r="K29" s="148">
        <f>SP1000CompInstrProj</f>
        <v>0</v>
      </c>
      <c r="L29" s="171" t="str">
        <f t="shared" si="3"/>
        <v> </v>
      </c>
      <c r="M29" s="225"/>
    </row>
    <row r="30" spans="1:13" ht="12" customHeight="1">
      <c r="A30" s="165"/>
      <c r="C30" s="145" t="s">
        <v>196</v>
      </c>
      <c r="D30" s="149">
        <f>SP1000P200F2600CY</f>
        <v>35000</v>
      </c>
      <c r="E30" s="149">
        <f>SP1000P200F2600</f>
        <v>0</v>
      </c>
      <c r="F30" s="168">
        <f t="shared" si="2"/>
        <v>-1</v>
      </c>
      <c r="H30" s="173" t="s">
        <v>207</v>
      </c>
      <c r="I30" s="155"/>
      <c r="J30" s="148">
        <f>TotalFederalProjectsCY</f>
        <v>189635</v>
      </c>
      <c r="K30" s="148">
        <f>TotalFederalProjects</f>
        <v>188366</v>
      </c>
      <c r="L30" s="171">
        <f t="shared" si="3"/>
        <v>-0.007</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1505351</v>
      </c>
      <c r="K33" s="148">
        <f>SUM(K25:K32)</f>
        <v>1865975</v>
      </c>
      <c r="L33" s="171">
        <f t="shared" si="3"/>
        <v>0.24</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112828</v>
      </c>
      <c r="E35" s="161">
        <f>SUM(E23:E34)</f>
        <v>112934</v>
      </c>
      <c r="F35" s="168">
        <f t="shared" si="2"/>
        <v>0.001</v>
      </c>
      <c r="H35" s="606" t="s">
        <v>327</v>
      </c>
      <c r="I35" s="606"/>
      <c r="J35" s="606"/>
      <c r="K35" s="606"/>
      <c r="L35" s="606"/>
      <c r="M35" s="635">
        <f>IF(L37&lt;1,"Enter Average Salary on the Budget Cover","")</f>
      </c>
      <c r="N35" s="501"/>
    </row>
    <row r="36" spans="1:14" ht="0.75" customHeight="1">
      <c r="A36" s="170" t="s">
        <v>200</v>
      </c>
      <c r="B36" s="147"/>
      <c r="C36" s="152"/>
      <c r="D36" s="149"/>
      <c r="E36" s="149"/>
      <c r="F36" s="169"/>
      <c r="J36" s="236"/>
      <c r="K36" s="236"/>
      <c r="L36" s="236"/>
      <c r="M36" s="635"/>
      <c r="N36" s="501"/>
    </row>
    <row r="37" spans="1:14" ht="12" customHeight="1">
      <c r="A37" s="173" t="s">
        <v>29</v>
      </c>
      <c r="B37" s="155"/>
      <c r="C37" s="156"/>
      <c r="D37" s="148">
        <f>SP1000P400CY</f>
        <v>80000</v>
      </c>
      <c r="E37" s="148">
        <f>SP1000P400</f>
        <v>22000</v>
      </c>
      <c r="F37" s="171">
        <f t="shared" si="2"/>
        <v>-0.725</v>
      </c>
      <c r="H37" s="622" t="s">
        <v>502</v>
      </c>
      <c r="I37" s="622"/>
      <c r="J37" s="622"/>
      <c r="K37" s="622"/>
      <c r="L37" s="252">
        <f>BudgetYearSalary</f>
        <v>47863</v>
      </c>
      <c r="M37" s="635"/>
      <c r="N37" s="501"/>
    </row>
    <row r="38" spans="1:14" ht="12" customHeight="1">
      <c r="A38" s="173" t="s">
        <v>30</v>
      </c>
      <c r="B38" s="155"/>
      <c r="C38" s="156"/>
      <c r="D38" s="148">
        <f>SP1000P530CY</f>
        <v>0</v>
      </c>
      <c r="E38" s="148">
        <f>SP1000P530</f>
        <v>0</v>
      </c>
      <c r="F38" s="171" t="str">
        <f t="shared" si="2"/>
        <v> </v>
      </c>
      <c r="H38" s="622" t="s">
        <v>503</v>
      </c>
      <c r="I38" s="622"/>
      <c r="J38" s="622"/>
      <c r="K38" s="622"/>
      <c r="L38" s="252">
        <f>PriorYearSalary</f>
        <v>42269</v>
      </c>
      <c r="M38" s="635"/>
      <c r="N38" s="501"/>
    </row>
    <row r="39" spans="1:14" ht="12" customHeight="1">
      <c r="A39" s="173" t="s">
        <v>201</v>
      </c>
      <c r="B39" s="155"/>
      <c r="C39" s="156"/>
      <c r="D39" s="148">
        <f>SP1000P540CY</f>
        <v>0</v>
      </c>
      <c r="E39" s="148">
        <f>SP1000P540</f>
        <v>0</v>
      </c>
      <c r="F39" s="171" t="str">
        <f t="shared" si="2"/>
        <v> </v>
      </c>
      <c r="H39" s="622" t="s">
        <v>504</v>
      </c>
      <c r="I39" s="622"/>
      <c r="J39" s="622"/>
      <c r="K39" s="622"/>
      <c r="L39" s="252">
        <f>SalaryIncreaseFromPriorYear</f>
        <v>5594</v>
      </c>
      <c r="M39" s="635"/>
      <c r="N39" s="501"/>
    </row>
    <row r="40" spans="1:14" ht="12" customHeight="1">
      <c r="A40" s="170" t="s">
        <v>213</v>
      </c>
      <c r="B40" s="147"/>
      <c r="C40" s="152"/>
      <c r="D40" s="148">
        <f>SP1000P550CY</f>
        <v>0</v>
      </c>
      <c r="E40" s="148">
        <f>SP1000P550</f>
        <v>0</v>
      </c>
      <c r="F40" s="171" t="str">
        <f t="shared" si="2"/>
        <v> </v>
      </c>
      <c r="H40" s="623" t="s">
        <v>282</v>
      </c>
      <c r="I40" s="623"/>
      <c r="J40" s="623"/>
      <c r="K40" s="623"/>
      <c r="L40" s="257">
        <f>SalaryPercentageIncrease</f>
        <v>0.132</v>
      </c>
      <c r="M40" s="635"/>
      <c r="N40" s="501"/>
    </row>
    <row r="41" spans="1:13" ht="12" customHeight="1">
      <c r="A41" s="170"/>
      <c r="B41" s="147"/>
      <c r="C41" s="152" t="s">
        <v>202</v>
      </c>
      <c r="D41" s="149">
        <f>SUM(D35:D40)+D21</f>
        <v>1197353</v>
      </c>
      <c r="E41" s="149">
        <f>SUM(E35:E40)+E21</f>
        <v>1556796</v>
      </c>
      <c r="F41" s="171">
        <f t="shared" si="2"/>
        <v>0.3</v>
      </c>
      <c r="H41" s="626" t="str">
        <f>IF(AverageSalaryCalculationComment&lt;&gt;"",AverageSalaryCalculationComment,"")</f>
        <v>Comments on average salary calculation (optional):   These salaries do not include Prop 301 Performance and/or stipends.</v>
      </c>
      <c r="I41" s="627"/>
      <c r="J41" s="627"/>
      <c r="K41" s="627"/>
      <c r="L41" s="628"/>
      <c r="M41" s="635"/>
    </row>
    <row r="42" spans="4:13" ht="12" customHeight="1">
      <c r="D42" s="224"/>
      <c r="E42" s="224"/>
      <c r="F42" s="225"/>
      <c r="H42" s="629"/>
      <c r="I42" s="630"/>
      <c r="J42" s="630"/>
      <c r="K42" s="630"/>
      <c r="L42" s="631"/>
      <c r="M42" s="635"/>
    </row>
    <row r="43" spans="8:13" ht="12" customHeight="1">
      <c r="H43" s="629"/>
      <c r="I43" s="630"/>
      <c r="J43" s="630"/>
      <c r="K43" s="630"/>
      <c r="L43" s="631"/>
      <c r="M43" s="635"/>
    </row>
    <row r="44" spans="8:13" ht="12" customHeight="1">
      <c r="H44" s="629"/>
      <c r="I44" s="630"/>
      <c r="J44" s="630"/>
      <c r="K44" s="630"/>
      <c r="L44" s="631"/>
      <c r="M44" s="635"/>
    </row>
    <row r="45" spans="8:13" ht="12" customHeight="1">
      <c r="H45" s="632"/>
      <c r="I45" s="633"/>
      <c r="J45" s="633"/>
      <c r="K45" s="633"/>
      <c r="L45" s="634"/>
      <c r="M45" s="635"/>
    </row>
    <row r="46" spans="8:13" ht="12" customHeight="1">
      <c r="H46" s="519" t="s">
        <v>467</v>
      </c>
      <c r="I46" s="520"/>
      <c r="J46" s="520"/>
      <c r="K46" s="520"/>
      <c r="L46" s="521">
        <f>FY18Average</f>
        <v>38017</v>
      </c>
      <c r="M46" s="502"/>
    </row>
    <row r="47" spans="8:13" ht="12" customHeight="1">
      <c r="H47" s="519" t="s">
        <v>468</v>
      </c>
      <c r="I47" s="520"/>
      <c r="J47" s="520"/>
      <c r="K47" s="520"/>
      <c r="L47" s="522">
        <f>IncreaseSinceFY18</f>
        <v>0.259</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37">
      <selection activeCell="K42" sqref="K42:L42"/>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Pima Prevention Partnership</v>
      </c>
      <c r="F1" s="292"/>
      <c r="G1" s="107"/>
      <c r="I1" s="107"/>
      <c r="K1" s="290" t="s">
        <v>1</v>
      </c>
      <c r="L1" s="402" t="str">
        <f>Cover!M1</f>
        <v>PIMA</v>
      </c>
      <c r="M1" s="401"/>
      <c r="N1" s="291"/>
      <c r="O1" s="290" t="s">
        <v>89</v>
      </c>
      <c r="P1" s="395" t="str">
        <f>CTD</f>
        <v>108507000</v>
      </c>
    </row>
    <row r="5" spans="1:29" ht="15.75">
      <c r="A5" s="460" t="s">
        <v>448</v>
      </c>
      <c r="C5" s="285"/>
      <c r="D5" s="283"/>
      <c r="E5" s="282"/>
      <c r="F5" s="282"/>
      <c r="Q5" s="563"/>
      <c r="R5" s="563"/>
      <c r="S5" s="563"/>
      <c r="T5" s="563"/>
      <c r="U5" s="563"/>
      <c r="V5" s="563"/>
      <c r="W5" s="563"/>
      <c r="X5" s="563"/>
      <c r="Y5" s="563"/>
      <c r="Z5" s="563"/>
      <c r="AA5" s="563"/>
      <c r="AB5" s="563"/>
      <c r="AC5" s="563"/>
    </row>
    <row r="7" spans="1:15" s="456" customFormat="1" ht="46.5" customHeight="1">
      <c r="A7" s="474">
        <f>IF(B8="X","X",IF(B9="x","x",IF(B10="X","X",IF(B11="X","X",""))))</f>
      </c>
      <c r="B7" s="637" t="s">
        <v>447</v>
      </c>
      <c r="C7" s="637"/>
      <c r="D7" s="637"/>
      <c r="E7" s="637"/>
      <c r="F7" s="637"/>
      <c r="G7" s="637"/>
      <c r="H7" s="637"/>
      <c r="I7" s="637"/>
      <c r="J7" s="637"/>
      <c r="K7" s="637"/>
      <c r="L7" s="637"/>
      <c r="M7" s="637"/>
      <c r="N7" s="637"/>
      <c r="O7" s="455"/>
    </row>
    <row r="8" spans="1:15" ht="27" customHeight="1">
      <c r="A8" s="283"/>
      <c r="B8" s="346"/>
      <c r="D8" s="673" t="s">
        <v>383</v>
      </c>
      <c r="E8" s="673"/>
      <c r="F8" s="673"/>
      <c r="G8" s="673"/>
      <c r="H8" s="673"/>
      <c r="I8" s="673"/>
      <c r="J8" s="673"/>
      <c r="K8" s="673"/>
      <c r="L8" s="673"/>
      <c r="M8" s="673"/>
      <c r="N8" s="673"/>
      <c r="O8" s="286"/>
    </row>
    <row r="9" spans="1:15" ht="27.75" customHeight="1" thickBot="1">
      <c r="A9" s="283"/>
      <c r="B9" s="347"/>
      <c r="D9" s="673" t="s">
        <v>384</v>
      </c>
      <c r="E9" s="673"/>
      <c r="F9" s="673"/>
      <c r="G9" s="673"/>
      <c r="H9" s="673"/>
      <c r="I9" s="673"/>
      <c r="J9" s="673"/>
      <c r="K9" s="673"/>
      <c r="L9" s="673"/>
      <c r="M9" s="673"/>
      <c r="N9" s="673"/>
      <c r="O9" s="286"/>
    </row>
    <row r="10" spans="1:15" ht="27.75" customHeight="1" thickBot="1">
      <c r="A10" s="283"/>
      <c r="B10" s="348"/>
      <c r="D10" s="673" t="s">
        <v>385</v>
      </c>
      <c r="E10" s="673"/>
      <c r="F10" s="673"/>
      <c r="G10" s="673"/>
      <c r="H10" s="673"/>
      <c r="I10" s="673"/>
      <c r="J10" s="673"/>
      <c r="K10" s="673"/>
      <c r="L10" s="673"/>
      <c r="M10" s="673"/>
      <c r="N10" s="673"/>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8" t="s">
        <v>505</v>
      </c>
      <c r="C14" s="638"/>
      <c r="D14" s="638"/>
      <c r="E14" s="638"/>
      <c r="F14" s="638"/>
      <c r="G14" s="638"/>
      <c r="H14" s="638"/>
      <c r="I14" s="638"/>
      <c r="J14" s="638"/>
      <c r="K14" s="638"/>
      <c r="L14" s="638"/>
      <c r="M14" s="638"/>
      <c r="N14" s="638"/>
    </row>
    <row r="15" spans="2:14" ht="13.5" customHeight="1">
      <c r="B15" s="462"/>
      <c r="C15" s="462"/>
      <c r="D15" s="462"/>
      <c r="E15" s="462"/>
      <c r="F15" s="462"/>
      <c r="G15" s="462"/>
      <c r="H15" s="462"/>
      <c r="I15" s="462"/>
      <c r="J15" s="462"/>
      <c r="K15" s="462"/>
      <c r="L15" s="462"/>
      <c r="M15" s="462"/>
      <c r="N15" s="462"/>
    </row>
    <row r="16" spans="2:13" ht="12.75">
      <c r="B16" s="664" t="s">
        <v>387</v>
      </c>
      <c r="C16" s="664"/>
      <c r="D16" s="664"/>
      <c r="E16" s="664"/>
      <c r="F16" s="657" t="s">
        <v>332</v>
      </c>
      <c r="G16" s="658"/>
      <c r="H16" s="657" t="s">
        <v>333</v>
      </c>
      <c r="I16" s="672"/>
      <c r="J16" s="658"/>
      <c r="K16" s="665" t="s">
        <v>334</v>
      </c>
      <c r="L16" s="666"/>
      <c r="M16" s="667"/>
    </row>
    <row r="17" spans="2:14" ht="12.75">
      <c r="B17" s="648" t="s">
        <v>346</v>
      </c>
      <c r="C17" s="530"/>
      <c r="D17" s="530"/>
      <c r="E17" s="649"/>
      <c r="F17" s="655"/>
      <c r="G17" s="656"/>
      <c r="H17" s="489"/>
      <c r="I17" s="659"/>
      <c r="J17" s="656"/>
      <c r="K17" s="352"/>
      <c r="L17" s="659">
        <v>170</v>
      </c>
      <c r="M17" s="656"/>
      <c r="N17" s="325"/>
    </row>
    <row r="18" spans="2:14" ht="12.75">
      <c r="B18" s="650" t="s">
        <v>388</v>
      </c>
      <c r="C18" s="651"/>
      <c r="D18" s="651"/>
      <c r="E18" s="652"/>
      <c r="F18" s="312"/>
      <c r="G18" s="313"/>
      <c r="H18" s="298" t="s">
        <v>344</v>
      </c>
      <c r="I18" s="653"/>
      <c r="J18" s="654"/>
      <c r="K18" s="306" t="s">
        <v>344</v>
      </c>
      <c r="L18" s="641"/>
      <c r="M18" s="642"/>
      <c r="N18" s="325"/>
    </row>
    <row r="19" spans="2:13" ht="12.75">
      <c r="B19" s="650" t="s">
        <v>389</v>
      </c>
      <c r="C19" s="651"/>
      <c r="D19" s="651"/>
      <c r="E19" s="652"/>
      <c r="F19" s="312"/>
      <c r="G19" s="313"/>
      <c r="H19" s="298" t="s">
        <v>344</v>
      </c>
      <c r="I19" s="653"/>
      <c r="J19" s="654"/>
      <c r="K19" s="306" t="s">
        <v>344</v>
      </c>
      <c r="L19" s="641"/>
      <c r="M19" s="642"/>
    </row>
    <row r="20" spans="2:13" ht="12.75">
      <c r="B20" s="674" t="s">
        <v>390</v>
      </c>
      <c r="C20" s="675"/>
      <c r="D20" s="675"/>
      <c r="E20" s="676"/>
      <c r="F20" s="105" t="s">
        <v>340</v>
      </c>
      <c r="G20" s="360">
        <f>F17</f>
        <v>0</v>
      </c>
      <c r="H20" s="280" t="s">
        <v>340</v>
      </c>
      <c r="I20" s="668">
        <f>I17+I18+I19</f>
        <v>0</v>
      </c>
      <c r="J20" s="669"/>
      <c r="K20" s="105" t="s">
        <v>340</v>
      </c>
      <c r="L20" s="668">
        <f>L17+L18+L19</f>
        <v>170</v>
      </c>
      <c r="M20" s="669"/>
    </row>
    <row r="22" spans="2:13" ht="12.75">
      <c r="B22" s="282" t="s">
        <v>438</v>
      </c>
      <c r="C22"/>
      <c r="D22"/>
      <c r="E22"/>
      <c r="F22"/>
      <c r="G22"/>
      <c r="H22"/>
      <c r="I22"/>
      <c r="J22"/>
      <c r="K22"/>
      <c r="L22"/>
      <c r="M22"/>
    </row>
    <row r="23" spans="2:14" ht="26.25" customHeight="1">
      <c r="B23" s="638" t="s">
        <v>443</v>
      </c>
      <c r="C23" s="638"/>
      <c r="D23" s="638"/>
      <c r="E23" s="638"/>
      <c r="F23" s="638"/>
      <c r="G23" s="638"/>
      <c r="H23" s="638"/>
      <c r="I23" s="638"/>
      <c r="J23" s="638"/>
      <c r="K23" s="638"/>
      <c r="L23" s="638"/>
      <c r="M23" s="638"/>
      <c r="N23" s="638"/>
    </row>
    <row r="24" spans="2:13" ht="12.75">
      <c r="B24" s="457"/>
      <c r="C24" s="458"/>
      <c r="D24" s="458"/>
      <c r="E24" s="458"/>
      <c r="F24" s="458"/>
      <c r="G24" s="458"/>
      <c r="H24" s="458"/>
      <c r="I24" s="458"/>
      <c r="J24" s="458"/>
      <c r="K24" s="458"/>
      <c r="L24" s="458"/>
      <c r="M24" s="458"/>
    </row>
    <row r="25" spans="2:13" ht="12.75">
      <c r="B25" s="459" t="s">
        <v>387</v>
      </c>
      <c r="C25" s="459"/>
      <c r="D25" s="459"/>
      <c r="E25" s="459"/>
      <c r="F25" s="657" t="s">
        <v>332</v>
      </c>
      <c r="G25" s="658"/>
      <c r="H25" s="657" t="s">
        <v>333</v>
      </c>
      <c r="I25" s="672"/>
      <c r="J25" s="658"/>
      <c r="K25" s="665" t="s">
        <v>334</v>
      </c>
      <c r="L25" s="666"/>
      <c r="M25" s="667"/>
    </row>
    <row r="26" spans="2:16" ht="12.75">
      <c r="B26" s="280" t="s">
        <v>346</v>
      </c>
      <c r="C26" s="104"/>
      <c r="D26" s="361"/>
      <c r="F26" s="354"/>
      <c r="G26" s="490"/>
      <c r="I26" s="639"/>
      <c r="J26" s="640"/>
      <c r="K26" s="280"/>
      <c r="L26" s="639"/>
      <c r="M26" s="640"/>
      <c r="P26" s="107"/>
    </row>
    <row r="27" spans="2:13" ht="12.75">
      <c r="B27" s="105" t="s">
        <v>388</v>
      </c>
      <c r="C27" s="279"/>
      <c r="D27" s="365"/>
      <c r="E27" s="293"/>
      <c r="F27" s="314"/>
      <c r="G27" s="315"/>
      <c r="H27" s="279" t="s">
        <v>344</v>
      </c>
      <c r="I27" s="653"/>
      <c r="J27" s="654"/>
      <c r="K27" s="105" t="s">
        <v>344</v>
      </c>
      <c r="L27" s="641"/>
      <c r="M27" s="642"/>
    </row>
    <row r="28" spans="2:13" ht="12.75">
      <c r="B28" s="105" t="s">
        <v>389</v>
      </c>
      <c r="C28" s="279"/>
      <c r="D28" s="279"/>
      <c r="E28" s="294"/>
      <c r="F28" s="314"/>
      <c r="G28" s="315"/>
      <c r="H28" s="279" t="s">
        <v>344</v>
      </c>
      <c r="I28" s="653"/>
      <c r="J28" s="654"/>
      <c r="K28" s="105" t="s">
        <v>344</v>
      </c>
      <c r="L28" s="641"/>
      <c r="M28" s="642"/>
    </row>
    <row r="29" spans="2:13" ht="12.75">
      <c r="B29" s="280" t="s">
        <v>390</v>
      </c>
      <c r="C29" s="104"/>
      <c r="D29" s="361"/>
      <c r="E29" s="280"/>
      <c r="F29" s="280" t="s">
        <v>340</v>
      </c>
      <c r="G29" s="360">
        <f>G26</f>
        <v>0</v>
      </c>
      <c r="H29" s="105" t="s">
        <v>340</v>
      </c>
      <c r="I29" s="668">
        <f>I26+I27+I28</f>
        <v>0</v>
      </c>
      <c r="J29" s="669"/>
      <c r="K29" s="105" t="s">
        <v>340</v>
      </c>
      <c r="L29" s="660">
        <f>L26+L27+L28</f>
        <v>0</v>
      </c>
      <c r="M29" s="661"/>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6" t="s">
        <v>523</v>
      </c>
      <c r="C35" s="636"/>
      <c r="D35" s="636"/>
      <c r="E35" s="636"/>
      <c r="F35" s="636"/>
      <c r="G35" s="636"/>
      <c r="H35" s="636"/>
      <c r="I35" s="636"/>
      <c r="J35" s="636"/>
      <c r="K35" s="636"/>
      <c r="L35" s="636"/>
      <c r="M35" s="636"/>
      <c r="N35" s="636"/>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70" t="s">
        <v>348</v>
      </c>
      <c r="L37" s="671"/>
      <c r="M37" s="328"/>
      <c r="N37" s="300"/>
      <c r="O37" s="328"/>
      <c r="P37" s="328"/>
      <c r="Q37" s="300"/>
      <c r="R37" s="328"/>
      <c r="S37" s="328"/>
      <c r="U37" s="254"/>
    </row>
    <row r="38" spans="1:19" ht="12.75">
      <c r="A38" s="287"/>
      <c r="B38" s="287">
        <v>1</v>
      </c>
      <c r="C38" s="301" t="s">
        <v>350</v>
      </c>
      <c r="D38" s="300"/>
      <c r="E38" s="300"/>
      <c r="F38" s="300"/>
      <c r="G38" s="300"/>
      <c r="H38" s="300"/>
      <c r="I38" s="440"/>
      <c r="J38" s="439"/>
      <c r="K38" s="643"/>
      <c r="L38" s="644"/>
      <c r="M38" s="438"/>
      <c r="N38" s="332"/>
      <c r="O38" s="370"/>
      <c r="P38" s="438"/>
      <c r="Q38" s="300"/>
      <c r="R38" s="370"/>
      <c r="S38" s="438"/>
    </row>
    <row r="39" spans="1:19" ht="12.75">
      <c r="A39" s="287"/>
      <c r="B39" s="287">
        <v>2</v>
      </c>
      <c r="C39" s="301" t="s">
        <v>351</v>
      </c>
      <c r="D39" s="300"/>
      <c r="E39" s="300"/>
      <c r="F39" s="300"/>
      <c r="G39" s="300"/>
      <c r="H39" s="300"/>
      <c r="I39" s="440"/>
      <c r="J39" s="439"/>
      <c r="K39" s="643"/>
      <c r="L39" s="644"/>
      <c r="M39" s="438"/>
      <c r="N39" s="332"/>
      <c r="O39" s="370"/>
      <c r="P39" s="438"/>
      <c r="Q39" s="300"/>
      <c r="R39" s="370"/>
      <c r="S39" s="438"/>
    </row>
    <row r="40" spans="1:19" ht="12.75">
      <c r="A40" s="287"/>
      <c r="B40" s="287">
        <v>3</v>
      </c>
      <c r="C40" s="301" t="s">
        <v>352</v>
      </c>
      <c r="D40" s="300"/>
      <c r="E40" s="300"/>
      <c r="F40" s="300"/>
      <c r="G40" s="300"/>
      <c r="H40" s="300"/>
      <c r="I40" s="440">
        <v>17</v>
      </c>
      <c r="J40" s="439"/>
      <c r="K40" s="643"/>
      <c r="L40" s="644"/>
      <c r="M40" s="438"/>
      <c r="N40" s="332"/>
      <c r="O40" s="370"/>
      <c r="P40" s="438"/>
      <c r="Q40" s="300"/>
      <c r="R40" s="370"/>
      <c r="S40" s="438"/>
    </row>
    <row r="41" spans="1:19" ht="12.75">
      <c r="A41" s="287"/>
      <c r="B41" s="287">
        <v>4</v>
      </c>
      <c r="C41" s="301" t="s">
        <v>353</v>
      </c>
      <c r="D41" s="300"/>
      <c r="E41" s="300"/>
      <c r="F41" s="300"/>
      <c r="G41" s="300"/>
      <c r="H41" s="300"/>
      <c r="I41" s="440"/>
      <c r="J41" s="439"/>
      <c r="K41" s="643"/>
      <c r="L41" s="644"/>
      <c r="M41" s="438"/>
      <c r="N41" s="332"/>
      <c r="O41" s="370"/>
      <c r="P41" s="438"/>
      <c r="Q41" s="300"/>
      <c r="R41" s="370"/>
      <c r="S41" s="438"/>
    </row>
    <row r="42" spans="1:19" ht="12.75">
      <c r="A42" s="287"/>
      <c r="B42" s="287">
        <v>5</v>
      </c>
      <c r="C42" s="301" t="s">
        <v>476</v>
      </c>
      <c r="D42" s="300"/>
      <c r="E42" s="300"/>
      <c r="F42" s="300"/>
      <c r="G42" s="300"/>
      <c r="H42" s="300"/>
      <c r="I42" s="440"/>
      <c r="J42" s="439"/>
      <c r="K42" s="643"/>
      <c r="L42" s="644"/>
      <c r="M42" s="438"/>
      <c r="N42" s="332"/>
      <c r="O42" s="370"/>
      <c r="P42" s="438"/>
      <c r="Q42" s="300"/>
      <c r="R42" s="370"/>
      <c r="S42" s="438"/>
    </row>
    <row r="43" spans="1:19" ht="12.75">
      <c r="A43" s="287"/>
      <c r="B43" s="287">
        <v>6</v>
      </c>
      <c r="C43" s="301" t="s">
        <v>477</v>
      </c>
      <c r="D43" s="300"/>
      <c r="E43" s="300"/>
      <c r="F43" s="300"/>
      <c r="G43" s="300"/>
      <c r="H43" s="300"/>
      <c r="I43" s="440"/>
      <c r="J43" s="439"/>
      <c r="K43" s="643"/>
      <c r="L43" s="644"/>
      <c r="M43" s="438"/>
      <c r="N43" s="332"/>
      <c r="O43" s="370"/>
      <c r="P43" s="438"/>
      <c r="Q43" s="300"/>
      <c r="R43" s="370"/>
      <c r="S43" s="438"/>
    </row>
    <row r="44" spans="1:19" ht="12.75">
      <c r="A44" s="287"/>
      <c r="B44" s="287">
        <v>7</v>
      </c>
      <c r="C44" s="301" t="s">
        <v>354</v>
      </c>
      <c r="D44" s="300"/>
      <c r="E44" s="300"/>
      <c r="F44" s="300"/>
      <c r="G44" s="300"/>
      <c r="H44" s="300"/>
      <c r="I44" s="440"/>
      <c r="J44" s="439"/>
      <c r="K44" s="643"/>
      <c r="L44" s="644"/>
      <c r="M44" s="438"/>
      <c r="N44" s="332"/>
      <c r="O44" s="370"/>
      <c r="P44" s="438"/>
      <c r="Q44" s="300"/>
      <c r="R44" s="370"/>
      <c r="S44" s="438"/>
    </row>
    <row r="45" spans="1:19" ht="12.75">
      <c r="A45" s="287"/>
      <c r="B45" s="287">
        <v>8</v>
      </c>
      <c r="C45" s="301" t="s">
        <v>355</v>
      </c>
      <c r="D45" s="300"/>
      <c r="E45" s="300"/>
      <c r="F45" s="300"/>
      <c r="G45" s="300"/>
      <c r="H45" s="300"/>
      <c r="I45" s="440"/>
      <c r="J45" s="439"/>
      <c r="K45" s="643"/>
      <c r="L45" s="644"/>
      <c r="M45" s="438"/>
      <c r="N45" s="332"/>
      <c r="O45" s="370"/>
      <c r="P45" s="438"/>
      <c r="Q45" s="300"/>
      <c r="R45" s="370"/>
      <c r="S45" s="438"/>
    </row>
    <row r="46" spans="1:19" ht="12.75">
      <c r="A46" s="287"/>
      <c r="B46" s="287">
        <v>9</v>
      </c>
      <c r="C46" s="301" t="s">
        <v>356</v>
      </c>
      <c r="D46" s="300"/>
      <c r="E46" s="300"/>
      <c r="F46" s="300"/>
      <c r="G46" s="300"/>
      <c r="H46" s="300"/>
      <c r="I46" s="440"/>
      <c r="J46" s="439"/>
      <c r="K46" s="643"/>
      <c r="L46" s="644"/>
      <c r="M46" s="438"/>
      <c r="N46" s="332"/>
      <c r="O46" s="370"/>
      <c r="P46" s="438"/>
      <c r="Q46" s="300"/>
      <c r="R46" s="370"/>
      <c r="S46" s="438"/>
    </row>
    <row r="47" spans="1:19" ht="12.75">
      <c r="A47" s="287"/>
      <c r="B47" s="287">
        <v>10</v>
      </c>
      <c r="C47" s="301" t="s">
        <v>357</v>
      </c>
      <c r="D47" s="300"/>
      <c r="E47" s="300"/>
      <c r="F47" s="300"/>
      <c r="G47" s="300"/>
      <c r="H47" s="300"/>
      <c r="I47" s="440"/>
      <c r="J47" s="442"/>
      <c r="K47" s="645"/>
      <c r="L47" s="646"/>
      <c r="M47" s="438"/>
      <c r="N47" s="332"/>
      <c r="O47" s="370"/>
      <c r="P47" s="438"/>
      <c r="Q47" s="300"/>
      <c r="R47" s="370"/>
      <c r="S47" s="438"/>
    </row>
    <row r="48" spans="1:19" ht="12.75">
      <c r="A48" s="287"/>
      <c r="B48" s="287">
        <v>11</v>
      </c>
      <c r="C48" s="301" t="s">
        <v>478</v>
      </c>
      <c r="D48" s="300"/>
      <c r="E48" s="300"/>
      <c r="F48" s="300"/>
      <c r="G48" s="300"/>
      <c r="H48" s="300"/>
      <c r="I48" s="440">
        <v>11</v>
      </c>
      <c r="J48" s="439"/>
      <c r="K48" s="643"/>
      <c r="L48" s="644"/>
      <c r="M48" s="438"/>
      <c r="N48" s="332"/>
      <c r="O48" s="370"/>
      <c r="P48" s="438"/>
      <c r="Q48" s="300"/>
      <c r="R48" s="370"/>
      <c r="S48" s="438"/>
    </row>
    <row r="49" spans="1:19" ht="12.75">
      <c r="A49" s="287"/>
      <c r="B49" s="287">
        <v>12</v>
      </c>
      <c r="C49" s="301" t="s">
        <v>358</v>
      </c>
      <c r="D49" s="300"/>
      <c r="E49" s="300"/>
      <c r="F49" s="300"/>
      <c r="G49" s="300"/>
      <c r="H49" s="300"/>
      <c r="I49" s="440"/>
      <c r="J49" s="439"/>
      <c r="K49" s="643"/>
      <c r="L49" s="644"/>
      <c r="M49" s="438"/>
      <c r="N49" s="332"/>
      <c r="O49" s="370"/>
      <c r="P49" s="438"/>
      <c r="Q49" s="300"/>
      <c r="R49" s="370"/>
      <c r="S49" s="438"/>
    </row>
    <row r="50" spans="1:19" ht="12.75">
      <c r="A50" s="287"/>
      <c r="B50" s="287">
        <v>13</v>
      </c>
      <c r="C50" s="301" t="s">
        <v>359</v>
      </c>
      <c r="D50" s="300"/>
      <c r="E50" s="300"/>
      <c r="F50" s="300"/>
      <c r="G50" s="300"/>
      <c r="H50" s="300"/>
      <c r="I50" s="440"/>
      <c r="J50" s="439"/>
      <c r="K50" s="643"/>
      <c r="L50" s="644"/>
      <c r="M50" s="438"/>
      <c r="N50" s="332"/>
      <c r="O50" s="370"/>
      <c r="P50" s="438"/>
      <c r="Q50" s="300"/>
      <c r="R50" s="370"/>
      <c r="S50" s="438"/>
    </row>
    <row r="51" spans="1:19" ht="12.75">
      <c r="A51" s="287"/>
      <c r="B51" s="287">
        <v>14</v>
      </c>
      <c r="C51" s="301" t="s">
        <v>360</v>
      </c>
      <c r="D51" s="300"/>
      <c r="E51" s="300"/>
      <c r="F51" s="300"/>
      <c r="G51" s="300"/>
      <c r="H51" s="300"/>
      <c r="I51" s="440"/>
      <c r="J51" s="439"/>
      <c r="K51" s="643"/>
      <c r="L51" s="644"/>
      <c r="M51" s="438"/>
      <c r="N51" s="332"/>
      <c r="O51" s="370"/>
      <c r="P51" s="438"/>
      <c r="Q51" s="300"/>
      <c r="R51" s="370"/>
      <c r="S51" s="438"/>
    </row>
    <row r="52" spans="1:19" ht="12.75">
      <c r="A52" s="287"/>
      <c r="B52" s="287">
        <v>15</v>
      </c>
      <c r="C52" s="300" t="s">
        <v>440</v>
      </c>
      <c r="D52" s="300"/>
      <c r="E52" s="300"/>
      <c r="F52" s="300"/>
      <c r="G52" s="300"/>
      <c r="H52" s="300"/>
      <c r="I52" s="441">
        <f>SUM(I38:I51)</f>
        <v>28</v>
      </c>
      <c r="J52" s="433">
        <f>SUM(J38:J51)</f>
        <v>0</v>
      </c>
      <c r="K52" s="662">
        <f>SUM(K38:K51)</f>
        <v>0</v>
      </c>
      <c r="L52" s="663"/>
      <c r="M52" s="438"/>
      <c r="N52" s="332"/>
      <c r="O52" s="332"/>
      <c r="P52" s="438"/>
      <c r="Q52" s="300"/>
      <c r="R52" s="438"/>
      <c r="S52" s="438"/>
    </row>
    <row r="53" spans="1:19" ht="12.75">
      <c r="A53" s="287"/>
      <c r="B53" s="287" t="s">
        <v>469</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473</v>
      </c>
      <c r="C54" s="301" t="s">
        <v>470</v>
      </c>
      <c r="D54" s="301"/>
      <c r="E54" s="301"/>
      <c r="F54" s="301"/>
      <c r="G54" s="301"/>
      <c r="H54" s="301"/>
      <c r="I54" s="507"/>
      <c r="J54" s="508"/>
      <c r="K54" s="509"/>
      <c r="L54" s="509"/>
      <c r="M54" s="510"/>
      <c r="N54" s="511"/>
      <c r="O54" s="332"/>
      <c r="P54" s="438"/>
      <c r="Q54" s="300"/>
      <c r="R54" s="438"/>
      <c r="S54" s="438"/>
    </row>
    <row r="55" spans="1:19" ht="14.25" customHeight="1">
      <c r="A55" s="287"/>
      <c r="B55" s="506" t="s">
        <v>474</v>
      </c>
      <c r="C55" s="301" t="s">
        <v>471</v>
      </c>
      <c r="D55" s="301"/>
      <c r="E55" s="301"/>
      <c r="F55" s="301"/>
      <c r="G55" s="301"/>
      <c r="H55" s="301"/>
      <c r="I55" s="507"/>
      <c r="J55" s="508"/>
      <c r="K55" s="509"/>
      <c r="L55" s="509"/>
      <c r="M55" s="510"/>
      <c r="N55" s="511"/>
      <c r="O55" s="332"/>
      <c r="P55" s="438"/>
      <c r="Q55" s="300"/>
      <c r="R55" s="438"/>
      <c r="S55" s="438"/>
    </row>
    <row r="56" spans="1:19" ht="12.75">
      <c r="A56" s="287"/>
      <c r="B56" s="506" t="s">
        <v>475</v>
      </c>
      <c r="C56" s="647" t="s">
        <v>472</v>
      </c>
      <c r="D56" s="647"/>
      <c r="E56" s="647"/>
      <c r="F56" s="647"/>
      <c r="G56" s="647"/>
      <c r="H56" s="647"/>
      <c r="I56" s="647"/>
      <c r="J56" s="647"/>
      <c r="K56" s="647"/>
      <c r="L56" s="647"/>
      <c r="M56" s="647"/>
      <c r="N56" s="647"/>
      <c r="O56" s="332"/>
      <c r="P56" s="438"/>
      <c r="Q56" s="300"/>
      <c r="R56" s="438"/>
      <c r="S56" s="438"/>
    </row>
    <row r="57" spans="1:19" ht="12.75">
      <c r="A57" s="287"/>
      <c r="B57" s="512"/>
      <c r="C57" s="647"/>
      <c r="D57" s="647"/>
      <c r="E57" s="647"/>
      <c r="F57" s="647"/>
      <c r="G57" s="647"/>
      <c r="H57" s="647"/>
      <c r="I57" s="647"/>
      <c r="J57" s="647"/>
      <c r="K57" s="647"/>
      <c r="L57" s="647"/>
      <c r="M57" s="647"/>
      <c r="N57" s="647"/>
      <c r="O57" s="332"/>
      <c r="P57" s="438"/>
      <c r="Q57" s="300"/>
      <c r="R57" s="438"/>
      <c r="S57" s="438"/>
    </row>
    <row r="59" spans="1:6" ht="15.75">
      <c r="A59" s="461" t="s">
        <v>416</v>
      </c>
      <c r="C59" s="282"/>
      <c r="D59" s="282"/>
      <c r="E59" s="282"/>
      <c r="F59" s="282"/>
    </row>
    <row r="60" ht="13.5" thickBot="1"/>
    <row r="61" spans="2:16" ht="13.5" thickBot="1">
      <c r="B61" s="329">
        <v>1</v>
      </c>
      <c r="C61" s="371"/>
      <c r="D61" s="575" t="s">
        <v>451</v>
      </c>
      <c r="E61" s="576"/>
      <c r="F61" s="576"/>
      <c r="G61" s="576"/>
      <c r="H61" s="576"/>
      <c r="I61" s="576"/>
      <c r="J61" s="576"/>
      <c r="K61" s="576"/>
      <c r="L61" s="576"/>
      <c r="M61" s="265"/>
      <c r="N61" s="473"/>
      <c r="O61" s="372"/>
      <c r="P61" s="372"/>
    </row>
    <row r="62" spans="2:14" ht="72" customHeight="1">
      <c r="B62" s="329"/>
      <c r="C62" s="638" t="s">
        <v>506</v>
      </c>
      <c r="D62" s="638"/>
      <c r="E62" s="638"/>
      <c r="F62" s="638"/>
      <c r="G62" s="638"/>
      <c r="H62" s="638"/>
      <c r="I62" s="638"/>
      <c r="J62" s="638"/>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8" t="s">
        <v>449</v>
      </c>
      <c r="D65" s="638"/>
      <c r="E65" s="638"/>
      <c r="F65" s="638"/>
      <c r="G65" s="638"/>
      <c r="H65" s="638"/>
      <c r="I65" s="638"/>
      <c r="J65" s="638"/>
      <c r="M65" s="265"/>
      <c r="N65" s="473"/>
    </row>
    <row r="66" spans="2:14" ht="165" customHeight="1">
      <c r="B66" s="329"/>
      <c r="C66" s="638" t="s">
        <v>452</v>
      </c>
      <c r="D66" s="638"/>
      <c r="E66" s="638"/>
      <c r="F66" s="638"/>
      <c r="G66" s="638"/>
      <c r="H66" s="638"/>
      <c r="I66" s="638"/>
      <c r="J66" s="638"/>
      <c r="K66" s="462"/>
      <c r="L66" s="462"/>
      <c r="M66" s="265"/>
      <c r="N66" s="473"/>
    </row>
    <row r="67" spans="2:14" ht="12.75">
      <c r="B67" s="329"/>
      <c r="C67" s="256"/>
      <c r="D67" s="256"/>
      <c r="E67" s="256"/>
      <c r="F67" s="256"/>
      <c r="G67" s="256"/>
      <c r="H67" s="256"/>
      <c r="M67" s="265"/>
      <c r="N67" s="473"/>
    </row>
    <row r="68" spans="2:14" ht="12.75">
      <c r="B68" s="329">
        <v>3</v>
      </c>
      <c r="C68" s="85" t="s">
        <v>507</v>
      </c>
      <c r="D68"/>
      <c r="E68"/>
      <c r="F68"/>
      <c r="M68" s="265" t="s">
        <v>4</v>
      </c>
      <c r="N68" s="400">
        <v>0</v>
      </c>
    </row>
    <row r="69" spans="2:14" ht="92.25" customHeight="1">
      <c r="B69" s="329"/>
      <c r="C69" s="638" t="s">
        <v>508</v>
      </c>
      <c r="D69" s="638"/>
      <c r="E69" s="638"/>
      <c r="F69" s="638"/>
      <c r="G69" s="638"/>
      <c r="H69" s="638"/>
      <c r="I69" s="638"/>
      <c r="J69" s="638"/>
      <c r="M69" s="265"/>
      <c r="N69" s="473"/>
    </row>
    <row r="70" spans="2:14" ht="12.75">
      <c r="B70" s="329"/>
      <c r="C70" s="256"/>
      <c r="D70" s="256"/>
      <c r="E70" s="256"/>
      <c r="F70" s="256"/>
      <c r="M70" s="265"/>
      <c r="N70" s="473"/>
    </row>
    <row r="71" spans="2:14" ht="12.75">
      <c r="B71" s="330">
        <v>4</v>
      </c>
      <c r="C71" s="85" t="s">
        <v>509</v>
      </c>
      <c r="D71"/>
      <c r="E71"/>
      <c r="M71" s="265" t="s">
        <v>4</v>
      </c>
      <c r="N71" s="400">
        <v>15000</v>
      </c>
    </row>
    <row r="72" spans="3:10" ht="53.25" customHeight="1">
      <c r="C72" s="636" t="s">
        <v>510</v>
      </c>
      <c r="D72" s="636"/>
      <c r="E72" s="636"/>
      <c r="F72" s="636"/>
      <c r="G72" s="636"/>
      <c r="H72" s="636"/>
      <c r="I72" s="636"/>
      <c r="J72" s="636"/>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0.0002</v>
      </c>
    </row>
    <row r="77" spans="3:10" ht="57" customHeight="1">
      <c r="C77" s="636" t="s">
        <v>455</v>
      </c>
      <c r="D77" s="636"/>
      <c r="E77" s="636"/>
      <c r="F77" s="636"/>
      <c r="G77" s="636"/>
      <c r="H77" s="636"/>
      <c r="I77" s="636"/>
      <c r="J77" s="636"/>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1">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3" t="s">
        <v>456</v>
      </c>
      <c r="B1" s="683"/>
      <c r="C1" s="683"/>
      <c r="D1" s="683"/>
      <c r="E1" s="684" t="str">
        <f>Cover!D1</f>
        <v>Pima Prevention Partnership</v>
      </c>
      <c r="F1" s="685"/>
      <c r="G1" s="685"/>
      <c r="H1" s="318" t="s">
        <v>331</v>
      </c>
      <c r="I1" s="483" t="str">
        <f>Cover!M1</f>
        <v>PIMA</v>
      </c>
      <c r="J1" s="683" t="s">
        <v>190</v>
      </c>
      <c r="K1" s="683"/>
      <c r="L1" s="679" t="str">
        <f>Cover!R1</f>
        <v>108507000</v>
      </c>
      <c r="M1" s="680"/>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459</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0</v>
      </c>
      <c r="M12" s="280" t="s">
        <v>338</v>
      </c>
      <c r="N12" s="361">
        <f>IF('Data Entry'!L20&gt;99.999,IF('Data Entry'!L20&lt;500,'Data Entry'!L20,0),0)</f>
        <v>170</v>
      </c>
      <c r="O12" s="320"/>
    </row>
    <row r="13" spans="1:15" ht="15.75" customHeight="1">
      <c r="A13" s="318"/>
      <c r="B13" s="318"/>
      <c r="C13" s="354"/>
      <c r="D13" s="85" t="s">
        <v>339</v>
      </c>
      <c r="E13" s="85"/>
      <c r="F13" s="85"/>
      <c r="G13" s="85"/>
      <c r="H13" s="85"/>
      <c r="I13" s="409"/>
      <c r="J13" s="318"/>
      <c r="K13" s="105" t="s">
        <v>340</v>
      </c>
      <c r="L13" s="479">
        <f>IF(L12&gt;0,ROUND(+L11-L12,3),0)</f>
        <v>0</v>
      </c>
      <c r="M13" s="307" t="s">
        <v>340</v>
      </c>
      <c r="N13" s="362">
        <f>IF(N12&gt;0,ROUND(+N11-N12,3),0)</f>
        <v>330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v>
      </c>
      <c r="M15" s="280" t="s">
        <v>340</v>
      </c>
      <c r="N15" s="361">
        <f>IF(N12&gt;0,ROUND(N13*N14,3),0)</f>
        <v>0.132</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0</v>
      </c>
      <c r="M17" s="309" t="s">
        <v>340</v>
      </c>
      <c r="N17" s="363">
        <f>IF(N12&gt;0,ROUND(+N15+N16,3),0)</f>
        <v>1.53</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462</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0</v>
      </c>
      <c r="M57" s="320"/>
      <c r="N57" s="104">
        <f>IF('Data Entry'!L20&gt;0,IF('Data Entry'!L20&lt;100,N9,IF('Data Entry'!L20&lt;500,N17,IF('Data Entry'!L20&lt;600,N25,N27))),0)</f>
        <v>1.53</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461</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0</v>
      </c>
      <c r="N64" s="447">
        <f>'Data Entry'!L17</f>
        <v>170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0</v>
      </c>
      <c r="N67" s="448">
        <f>SUM(N64:N66)</f>
        <v>170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524</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460</v>
      </c>
      <c r="C75" s="316"/>
      <c r="D75" s="316"/>
      <c r="E75" s="316"/>
      <c r="F75" s="316"/>
      <c r="T75" s="563"/>
      <c r="U75" s="563"/>
      <c r="V75" s="563"/>
      <c r="W75" s="563"/>
      <c r="X75" s="563"/>
      <c r="Y75" s="563"/>
      <c r="Z75" s="563"/>
      <c r="AA75" s="563"/>
      <c r="AB75" s="563"/>
      <c r="AC75" s="563"/>
      <c r="AD75" s="563"/>
      <c r="AE75" s="563"/>
    </row>
    <row r="76" spans="2:16" ht="12.75" customHeight="1">
      <c r="B76" s="678" t="s">
        <v>479</v>
      </c>
      <c r="C76" s="678"/>
      <c r="D76" s="678"/>
      <c r="E76" s="678"/>
      <c r="F76" s="678"/>
      <c r="G76" s="678"/>
      <c r="H76" s="678"/>
      <c r="I76" s="678"/>
      <c r="J76" s="678"/>
      <c r="K76" s="678"/>
      <c r="L76" s="678"/>
      <c r="M76" s="678"/>
      <c r="N76" s="678"/>
      <c r="O76" s="678"/>
      <c r="P76" s="428"/>
    </row>
    <row r="77" spans="2:16" ht="12.75" customHeight="1">
      <c r="B77" s="678"/>
      <c r="C77" s="678"/>
      <c r="D77" s="678"/>
      <c r="E77" s="678"/>
      <c r="F77" s="678"/>
      <c r="G77" s="678"/>
      <c r="H77" s="678"/>
      <c r="I77" s="678"/>
      <c r="J77" s="678"/>
      <c r="K77" s="678"/>
      <c r="L77" s="678"/>
      <c r="M77" s="678"/>
      <c r="N77" s="678"/>
      <c r="O77" s="678"/>
      <c r="P77" s="428"/>
    </row>
    <row r="78" spans="2:16" ht="12.75" customHeight="1">
      <c r="B78" s="678"/>
      <c r="C78" s="678"/>
      <c r="D78" s="678"/>
      <c r="E78" s="678"/>
      <c r="F78" s="678"/>
      <c r="G78" s="678"/>
      <c r="H78" s="678"/>
      <c r="I78" s="678"/>
      <c r="J78" s="678"/>
      <c r="K78" s="678"/>
      <c r="L78" s="678"/>
      <c r="M78" s="678"/>
      <c r="N78" s="678"/>
      <c r="O78" s="678"/>
      <c r="P78" s="428"/>
    </row>
    <row r="79" spans="2:16" ht="12.75" customHeight="1">
      <c r="B79" s="678"/>
      <c r="C79" s="678"/>
      <c r="D79" s="678"/>
      <c r="E79" s="678"/>
      <c r="F79" s="678"/>
      <c r="G79" s="678"/>
      <c r="H79" s="678"/>
      <c r="I79" s="678"/>
      <c r="J79" s="678"/>
      <c r="K79" s="678"/>
      <c r="L79" s="678"/>
      <c r="M79" s="678"/>
      <c r="N79" s="678"/>
      <c r="O79" s="678"/>
      <c r="P79" s="428"/>
    </row>
    <row r="80" spans="2:16" ht="12.75" customHeight="1">
      <c r="B80" s="678"/>
      <c r="C80" s="678"/>
      <c r="D80" s="678"/>
      <c r="E80" s="678"/>
      <c r="F80" s="678"/>
      <c r="G80" s="678"/>
      <c r="H80" s="678"/>
      <c r="I80" s="678"/>
      <c r="J80" s="678"/>
      <c r="K80" s="678"/>
      <c r="L80" s="678"/>
      <c r="M80" s="678"/>
      <c r="N80" s="678"/>
      <c r="O80" s="678"/>
      <c r="P80" s="428"/>
    </row>
    <row r="81" spans="2:16" ht="12.75" customHeight="1">
      <c r="B81" s="678"/>
      <c r="C81" s="678"/>
      <c r="D81" s="678"/>
      <c r="E81" s="678"/>
      <c r="F81" s="678"/>
      <c r="G81" s="678"/>
      <c r="H81" s="678"/>
      <c r="I81" s="678"/>
      <c r="J81" s="678"/>
      <c r="K81" s="678"/>
      <c r="L81" s="678"/>
      <c r="M81" s="678"/>
      <c r="N81" s="678"/>
      <c r="O81" s="678"/>
      <c r="P81" s="428"/>
    </row>
    <row r="82" spans="2:16" ht="12.75" customHeight="1">
      <c r="B82" s="453"/>
      <c r="C82" s="453"/>
      <c r="D82" s="453"/>
      <c r="E82" s="453"/>
      <c r="F82" s="453"/>
      <c r="G82" s="453"/>
      <c r="H82" s="453"/>
      <c r="I82" s="453"/>
      <c r="J82" s="453"/>
      <c r="K82" s="453"/>
      <c r="L82" s="453"/>
      <c r="M82" s="453"/>
      <c r="N82" s="453"/>
      <c r="O82" s="453"/>
      <c r="P82" s="428"/>
    </row>
    <row r="83" spans="2:26" ht="12.75">
      <c r="B83" s="687" t="s">
        <v>361</v>
      </c>
      <c r="C83" s="687"/>
      <c r="D83" s="687"/>
      <c r="E83" s="687"/>
      <c r="F83" s="687"/>
      <c r="G83" s="687"/>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0</v>
      </c>
      <c r="G85" s="433">
        <f>'Data Entry'!I38*0.04</f>
        <v>0</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0</v>
      </c>
      <c r="Q87" s="374"/>
      <c r="R87" s="332"/>
    </row>
    <row r="88" spans="2:18" ht="12.75">
      <c r="B88" s="300" t="s">
        <v>202</v>
      </c>
      <c r="C88" s="436"/>
      <c r="D88" s="436"/>
      <c r="E88" s="332"/>
      <c r="F88" s="322">
        <f>SUM(F85:F87)</f>
        <v>0</v>
      </c>
      <c r="G88" s="433">
        <f>SUM(G85:G87)</f>
        <v>0</v>
      </c>
      <c r="H88" s="435"/>
      <c r="I88" s="300"/>
      <c r="L88" s="85" t="s">
        <v>350</v>
      </c>
      <c r="M88" s="446" t="s">
        <v>4</v>
      </c>
      <c r="N88" s="445">
        <f>L70*G88</f>
        <v>0</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7" t="s">
        <v>365</v>
      </c>
      <c r="C90" s="677"/>
      <c r="D90" s="677"/>
      <c r="E90" s="677"/>
      <c r="F90" s="677"/>
      <c r="G90" s="677"/>
      <c r="H90" s="436"/>
      <c r="I90" s="300"/>
      <c r="M90" s="350"/>
      <c r="N90" s="344"/>
      <c r="P90" s="300"/>
      <c r="Q90" s="332"/>
    </row>
    <row r="91" spans="1:17" ht="12.75">
      <c r="A91" s="117"/>
      <c r="B91" s="677"/>
      <c r="C91" s="677"/>
      <c r="D91" s="677"/>
      <c r="E91" s="677"/>
      <c r="F91" s="677"/>
      <c r="G91" s="677"/>
      <c r="H91" s="300"/>
      <c r="I91" s="300"/>
      <c r="M91" s="350"/>
      <c r="N91" s="344"/>
      <c r="P91" s="300"/>
      <c r="Q91" s="332"/>
    </row>
    <row r="92" spans="1:18" ht="12.75" customHeight="1">
      <c r="A92" s="117"/>
      <c r="B92" s="117"/>
      <c r="C92" s="117"/>
      <c r="M92" s="345"/>
      <c r="N92" s="429"/>
      <c r="P92" s="647"/>
      <c r="Q92" s="647"/>
      <c r="R92" s="647"/>
    </row>
    <row r="93" spans="1:18" ht="12.75" customHeight="1">
      <c r="A93" s="117"/>
      <c r="B93" s="117"/>
      <c r="C93" s="117"/>
      <c r="D93" s="300"/>
      <c r="F93" s="317"/>
      <c r="G93" s="300"/>
      <c r="H93" s="300"/>
      <c r="I93" s="300"/>
      <c r="L93" s="85"/>
      <c r="M93" s="350"/>
      <c r="N93" s="431"/>
      <c r="P93" s="647"/>
      <c r="Q93" s="647"/>
      <c r="R93" s="647"/>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525</v>
      </c>
      <c r="C96" s="316"/>
      <c r="D96" s="316"/>
      <c r="E96" s="316"/>
      <c r="F96" s="316"/>
      <c r="G96" s="316"/>
      <c r="H96" s="316"/>
      <c r="I96" s="316"/>
      <c r="J96" s="316"/>
      <c r="K96" s="316"/>
      <c r="L96" s="316"/>
    </row>
    <row r="97" spans="1:15" ht="12.75" customHeight="1">
      <c r="A97" s="682" t="s">
        <v>526</v>
      </c>
      <c r="B97" s="682"/>
      <c r="C97" s="682"/>
      <c r="D97" s="682"/>
      <c r="E97" s="682"/>
      <c r="F97" s="682"/>
      <c r="G97" s="682"/>
      <c r="H97" s="682"/>
      <c r="I97" s="682"/>
      <c r="J97" s="682"/>
      <c r="K97" s="682"/>
      <c r="L97" s="682"/>
      <c r="M97" s="682"/>
      <c r="N97" s="682"/>
      <c r="O97" s="682"/>
    </row>
    <row r="98" spans="1:15" ht="12.75" customHeight="1">
      <c r="A98" s="682"/>
      <c r="B98" s="682"/>
      <c r="C98" s="682"/>
      <c r="D98" s="682"/>
      <c r="E98" s="682"/>
      <c r="F98" s="682"/>
      <c r="G98" s="682"/>
      <c r="H98" s="682"/>
      <c r="I98" s="682"/>
      <c r="J98" s="682"/>
      <c r="K98" s="682"/>
      <c r="L98" s="682"/>
      <c r="M98" s="682"/>
      <c r="N98" s="682"/>
      <c r="O98" s="682"/>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522</v>
      </c>
      <c r="J101" s="411"/>
      <c r="K101" s="300" t="s">
        <v>4</v>
      </c>
      <c r="L101" s="342">
        <f>CHAR55!D128</f>
        <v>0</v>
      </c>
      <c r="M101" s="300" t="s">
        <v>4</v>
      </c>
      <c r="N101" s="342">
        <f>CHAR55!E128</f>
        <v>365185.5</v>
      </c>
    </row>
    <row r="102" spans="2:14" ht="12.75">
      <c r="B102" s="317">
        <v>2</v>
      </c>
      <c r="C102" s="85" t="s">
        <v>441</v>
      </c>
      <c r="J102" s="344"/>
      <c r="K102" s="300" t="s">
        <v>4</v>
      </c>
      <c r="L102" s="337">
        <f>L101*0.018</f>
        <v>0</v>
      </c>
      <c r="M102" s="300" t="s">
        <v>4</v>
      </c>
      <c r="N102" s="337">
        <f>N101*0.018</f>
        <v>6573.34</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463</v>
      </c>
      <c r="B105" s="282"/>
      <c r="C105" s="282"/>
      <c r="D105" s="282"/>
      <c r="E105" s="282"/>
      <c r="F105" s="282"/>
      <c r="G105" s="282"/>
      <c r="H105" s="282"/>
      <c r="I105" s="282"/>
      <c r="J105" s="282"/>
      <c r="K105" s="282"/>
      <c r="L105" s="282"/>
      <c r="N105" s="344"/>
      <c r="W105" s="341"/>
    </row>
    <row r="106" spans="1:23" ht="12.75" customHeight="1">
      <c r="A106" s="686" t="s">
        <v>446</v>
      </c>
      <c r="B106" s="686"/>
      <c r="C106" s="686"/>
      <c r="D106" s="686"/>
      <c r="E106" s="686"/>
      <c r="F106" s="686"/>
      <c r="G106" s="686"/>
      <c r="H106" s="686"/>
      <c r="I106" s="686"/>
      <c r="J106" s="686"/>
      <c r="K106" s="686"/>
      <c r="L106" s="686"/>
      <c r="M106" s="686"/>
      <c r="N106" s="686"/>
      <c r="O106" s="686"/>
      <c r="W106" s="341"/>
    </row>
    <row r="107" spans="1:23" ht="12.75" customHeight="1">
      <c r="A107" s="686"/>
      <c r="B107" s="686"/>
      <c r="C107" s="686"/>
      <c r="D107" s="686"/>
      <c r="E107" s="686"/>
      <c r="F107" s="686"/>
      <c r="G107" s="686"/>
      <c r="H107" s="686"/>
      <c r="I107" s="686"/>
      <c r="J107" s="686"/>
      <c r="K107" s="686"/>
      <c r="L107" s="686"/>
      <c r="M107" s="686"/>
      <c r="N107" s="686"/>
      <c r="O107" s="686"/>
      <c r="W107" s="341"/>
    </row>
    <row r="108" spans="1:23" ht="12.75" customHeight="1">
      <c r="A108" s="686"/>
      <c r="B108" s="686"/>
      <c r="C108" s="686"/>
      <c r="D108" s="686"/>
      <c r="E108" s="686"/>
      <c r="F108" s="686"/>
      <c r="G108" s="686"/>
      <c r="H108" s="686"/>
      <c r="I108" s="686"/>
      <c r="J108" s="686"/>
      <c r="K108" s="686"/>
      <c r="L108" s="686"/>
      <c r="M108" s="686"/>
      <c r="N108" s="686"/>
      <c r="O108" s="686"/>
      <c r="W108" s="341"/>
    </row>
    <row r="109" spans="1:23" ht="12.75" customHeight="1">
      <c r="A109" s="686"/>
      <c r="B109" s="686"/>
      <c r="C109" s="686"/>
      <c r="D109" s="686"/>
      <c r="E109" s="686"/>
      <c r="F109" s="686"/>
      <c r="G109" s="686"/>
      <c r="H109" s="686"/>
      <c r="I109" s="686"/>
      <c r="J109" s="686"/>
      <c r="K109" s="686"/>
      <c r="L109" s="686"/>
      <c r="M109" s="686"/>
      <c r="N109" s="686"/>
      <c r="O109" s="686"/>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10000</v>
      </c>
      <c r="T111" s="345"/>
      <c r="X111" s="681"/>
      <c r="Y111" s="681"/>
    </row>
    <row r="112" spans="2:14" ht="12.75">
      <c r="B112" s="317"/>
      <c r="C112" s="300"/>
      <c r="D112" s="300"/>
      <c r="E112" s="300"/>
      <c r="F112" s="300"/>
      <c r="N112" s="344"/>
    </row>
    <row r="114" ht="12.75">
      <c r="A114" s="282" t="s">
        <v>533</v>
      </c>
    </row>
    <row r="115" spans="2:14" ht="12.75">
      <c r="B115" s="427">
        <v>1</v>
      </c>
      <c r="C115" s="85" t="s">
        <v>529</v>
      </c>
      <c r="M115" s="446" t="s">
        <v>4</v>
      </c>
      <c r="N115" s="444">
        <f>CHAR55!C135</f>
        <v>1452963.4</v>
      </c>
    </row>
    <row r="116" spans="2:14" ht="12.75">
      <c r="B116" s="427">
        <v>2</v>
      </c>
      <c r="C116" s="85" t="s">
        <v>401</v>
      </c>
      <c r="M116" s="446" t="s">
        <v>4</v>
      </c>
      <c r="N116" s="444">
        <f>N72</f>
        <v>0</v>
      </c>
    </row>
    <row r="117" spans="2:14" ht="12.75">
      <c r="B117" s="317">
        <v>3</v>
      </c>
      <c r="C117" s="85" t="s">
        <v>406</v>
      </c>
      <c r="M117" s="350" t="s">
        <v>4</v>
      </c>
      <c r="N117" s="444">
        <f>N115-N116</f>
        <v>1452963.4</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2019-06-03T16:28:35Z</cp:lastPrinted>
  <dcterms:created xsi:type="dcterms:W3CDTF">1997-10-08T16:25:08Z</dcterms:created>
  <dcterms:modified xsi:type="dcterms:W3CDTF">2019-07-01T16:57:35Z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