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firstSheet="1" activeTab="1"/>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Info'!$A$1:$H$27</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<sst xmlns="http://schemas.openxmlformats.org/spreadsheetml/2006/main" count="1113" uniqueCount="563">
  <si>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</si>
  <si>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</si>
  <si>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</si>
  <si>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</si>
  <si>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</si>
  <si>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</si>
  <si>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</si>
  <si>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</si>
  <si>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</si>
  <si>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</si>
  <si>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</si>
  <si>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</si>
  <si>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</si>
  <si>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</si>
  <si>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</si>
  <si>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</si>
  <si>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</si>
  <si>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</si>
  <si>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</si>
  <si>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</si>
  <si>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</si>
  <si>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</si>
  <si>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</si>
  <si>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</si>
  <si>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</si>
  <si>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</si>
  <si>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</si>
  <si>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</si>
  <si>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</si>
  <si>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</si>
  <si>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</si>
  <si>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</si>
  <si>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</si>
  <si>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</si>
  <si>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</si>
  <si>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</si>
  <si>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</si>
  <si>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</si>
  <si>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</si>
  <si>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</si>
  <si>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</si>
  <si>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</si>
  <si>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</si>
  <si>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</si>
  <si>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</si>
  <si>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</si>
  <si>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</si>
  <si>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</si>
  <si>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</si>
  <si>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</si>
  <si>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</si>
  <si>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</si>
  <si>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</si>
  <si>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</si>
  <si>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</si>
  <si>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</si>
  <si>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</si>
  <si>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</si>
  <si>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</si>
  <si>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</si>
  <si>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</si>
  <si>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</si>
  <si>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</si>
  <si>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</si>
  <si>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</si>
  <si>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</si>
  <si>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</si>
  <si>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</si>
  <si>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</si>
  <si>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</si>
  <si>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</si>
  <si>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</si>
  <si>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</si>
  <si>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</si>
  <si>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</si>
  <si>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</si>
  <si>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</si>
  <si>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</si>
  <si>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</si>
  <si>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</si>
  <si>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</si>
  <si>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</si>
  <si>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</si>
  <si>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</si>
  <si>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</si>
  <si>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</si>
  <si>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</si>
  <si>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</si>
  <si>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</si>
  <si>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</si>
  <si>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</si>
  <si>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</si>
  <si>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</si>
  <si>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</si>
  <si>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</si>
  <si>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</si>
  <si>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</si>
  <si>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</si>
  <si>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</si>
  <si>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</si>
  <si>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</si>
  <si>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</si>
  <si>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</si>
  <si>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</si>
  <si>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</si>
  <si>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</si>
  <si>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</si>
  <si>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</si>
  <si>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</si>
  <si>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</si>
  <si>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</si>
  <si>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</si>
  <si>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</si>
  <si>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</si>
  <si>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</si>
  <si>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</si>
  <si>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</si>
  <si>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</si>
  <si>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</si>
  <si>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</si>
  <si>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</si>
  <si>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</si>
  <si>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</si>
  <si>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</si>
  <si>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</si>
  <si>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</si>
  <si>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</si>
  <si>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</si>
  <si>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</si>
  <si>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</si>
  <si>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</si>
  <si>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</si>
  <si>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</si>
  <si>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</si>
  <si>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</si>
  <si>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</si>
  <si>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</si>
  <si>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</si>
  <si>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</si>
  <si>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</si>
  <si>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</si>
  <si>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</si>
  <si>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</si>
  <si>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</si>
  <si>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</si>
  <si>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</si>
  <si>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</si>
  <si>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</si>
  <si>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</si>
  <si>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</si>
  <si>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</si>
  <si>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</si>
  <si>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</si>
  <si>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</si>
  <si>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</si>
  <si>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</si>
  <si>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</si>
  <si>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</si>
  <si>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</si>
  <si>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</si>
  <si>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</si>
  <si>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</si>
  <si>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</si>
  <si>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</si>
  <si>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</si>
  <si>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</si>
  <si>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</si>
  <si>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</si>
  <si>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</si>
  <si>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</si>
  <si>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</si>
  <si>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</si>
  <si>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</si>
  <si>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</si>
  <si>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</si>
  <si>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</si>
  <si>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</si>
  <si>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</si>
  <si>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</si>
  <si>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</si>
  <si>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</si>
  <si>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</si>
  <si>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</si>
  <si>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</si>
  <si>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</si>
  <si>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</si>
  <si>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</si>
  <si>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</si>
  <si>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</si>
  <si>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</si>
  <si>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</si>
  <si>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</si>
  <si>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</si>
  <si>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</si>
  <si>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</si>
  <si>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</si>
  <si>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</si>
  <si>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</si>
  <si>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</si>
  <si>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</si>
  <si>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</si>
  <si>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</si>
  <si>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</si>
  <si>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</si>
  <si>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</si>
  <si>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</si>
  <si>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</si>
  <si>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</si>
  <si>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</si>
  <si>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</si>
  <si>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</si>
  <si>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</si>
  <si>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</si>
  <si>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</si>
  <si>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</si>
  <si>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</si>
  <si>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</si>
  <si>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</si>
  <si>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</si>
  <si>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</si>
  <si>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</si>
  <si>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</si>
  <si>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</si>
  <si>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</si>
  <si>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</si>
  <si>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</si>
  <si>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</si>
  <si>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</si>
  <si>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</si>
  <si>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</si>
  <si>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</si>
  <si>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</si>
  <si>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</si>
  <si>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</si>
  <si>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</si>
  <si>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</si>
  <si>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</si>
  <si>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</si>
  <si>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</si>
  <si>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</si>
  <si>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</si>
  <si>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</si>
  <si>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</si>
  <si>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</si>
  <si>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</si>
  <si>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</si>
  <si>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</si>
  <si>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</si>
  <si>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</si>
  <si>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</si>
  <si>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</si>
  <si>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</si>
  <si>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</si>
  <si>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</si>
  <si>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</si>
  <si>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</si>
  <si>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</si>
  <si>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</si>
  <si>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</si>
  <si>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</si>
  <si>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</si>
  <si>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</si>
  <si>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</si>
  <si>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</si>
  <si>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</si>
  <si>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</si>
  <si>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</si>
  <si>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</si>
  <si>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</si>
  <si>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</si>
  <si>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</si>
  <si>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</si>
  <si>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</si>
  <si>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</si>
  <si>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</si>
  <si>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</si>
  <si>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</si>
  <si>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</si>
  <si>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</si>
  <si>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</si>
  <si>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</si>
  <si>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</si>
  <si>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</si>
  <si>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</si>
  <si>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</si>
  <si>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</si>
  <si>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</si>
  <si>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</si>
  <si>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</si>
  <si>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</si>
  <si>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</si>
  <si>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</si>
  <si>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</si>
  <si>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</si>
  <si>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</si>
  <si>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</si>
  <si>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</si>
  <si>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</si>
  <si>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</si>
  <si>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</si>
  <si>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</si>
  <si>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</si>
  <si>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</si>
  <si>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</si>
  <si>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</si>
  <si>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</si>
  <si>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</si>
  <si>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</si>
  <si>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</si>
  <si>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</si>
  <si>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</si>
  <si>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</si>
  <si>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</si>
  <si>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</si>
  <si>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</si>
  <si>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</si>
  <si>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</si>
  <si>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</si>
  <si>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</si>
  <si>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</si>
  <si>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</si>
  <si>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</si>
  <si>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</si>
  <si>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</si>
  <si>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</si>
  <si>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</si>
  <si>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</si>
  <si>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</si>
  <si>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</si>
  <si>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</si>
  <si>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</si>
  <si>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</si>
  <si>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</si>
  <si>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</si>
  <si>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</si>
  <si>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</si>
  <si>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</si>
  <si>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</si>
  <si>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</si>
  <si>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</si>
  <si>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</si>
  <si>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</si>
  <si>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</si>
  <si>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</si>
  <si>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</si>
  <si>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</si>
  <si>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</si>
  <si>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</si>
  <si>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</si>
  <si>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</si>
  <si>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</si>
  <si>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</si>
  <si>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</si>
  <si>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</si>
  <si>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</si>
  <si>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</si>
  <si>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</si>
  <si>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</si>
  <si>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</si>
  <si>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</si>
  <si>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</si>
  <si>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</si>
  <si>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</si>
  <si>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</si>
  <si>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</si>
  <si>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</si>
  <si>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</si>
  <si>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</si>
  <si>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</si>
  <si>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</si>
  <si>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</si>
  <si>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</si>
  <si>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</si>
  <si>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</si>
  <si>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</si>
  <si>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</si>
  <si>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</si>
  <si>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</si>
  <si>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</si>
  <si>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</si>
  <si>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</si>
  <si>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</si>
  <si>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</si>
  <si>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</si>
  <si>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</si>
  <si>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</si>
  <si>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</si>
  <si>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</si>
  <si>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</si>
  <si>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</si>
  <si>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</si>
  <si>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</si>
  <si>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</si>
  <si>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</si>
  <si>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</si>
  <si>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</si>
  <si>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</si>
  <si>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</si>
  <si>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</si>
  <si>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</si>
  <si>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</si>
  <si>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</si>
  <si>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</si>
  <si>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</si>
  <si>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</si>
  <si>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</si>
  <si>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</si>
  <si>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</si>
  <si>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</si>
  <si>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</si>
  <si>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</si>
  <si>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</si>
  <si>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</si>
  <si>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</si>
  <si>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</si>
  <si>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</si>
  <si>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</si>
  <si>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</si>
  <si>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</si>
  <si>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</si>
  <si>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</si>
  <si>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</si>
  <si>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</si>
  <si>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</si>
  <si>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</si>
  <si>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</si>
  <si>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</si>
  <si>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</si>
  <si>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</si>
  <si>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</si>
  <si>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</si>
  <si>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</si>
  <si>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</si>
  <si>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</si>
  <si>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</si>
  <si>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</si>
  <si>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</si>
  <si>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</si>
  <si>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</si>
  <si>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</si>
  <si>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</si>
  <si>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</si>
  <si>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</si>
  <si>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</si>
  <si>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</si>
  <si>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</si>
  <si>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</si>
  <si>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</si>
  <si>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</si>
  <si>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</si>
  <si>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</si>
  <si>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</si>
  <si>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</si>
  <si>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</si>
  <si>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</si>
  <si>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</si>
  <si>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</si>
  <si>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</si>
  <si>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</si>
  <si>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</si>
  <si>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</si>
  <si>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</si>
  <si>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</si>
  <si>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</si>
  <si>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</si>
  <si>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</si>
  <si>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</si>
  <si>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</si>
  <si>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</si>
  <si>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</si>
  <si>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</si>
  <si>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</si>
  <si>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</si>
  <si>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</si>
  <si>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</si>
  <si>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</si>
  <si>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</si>
  <si>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</si>
  <si>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</si>
  <si>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</si>
  <si>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</si>
  <si>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</si>
  <si>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</si>
  <si>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</si>
  <si>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</si>
  <si>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</si>
  <si>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</si>
  <si>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</si>
  <si>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</si>
  <si>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</si>
  <si>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</si>
  <si>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</si>
  <si>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</si>
  <si>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</si>
  <si>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</si>
  <si>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</si>
  <si>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</si>
  <si>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</si>
  <si>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</si>
  <si>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</si>
  <si>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</si>
  <si>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</si>
  <si>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</si>
  <si>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</si>
  <si>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</si>
  <si>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</si>
  <si>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</si>
  <si>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</si>
  <si>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</si>
  <si>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</si>
  <si>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</si>
  <si>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</si>
  <si>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</si>
  <si>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</si>
  <si>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</si>
  <si>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</si>
  <si>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</si>
  <si>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</si>
  <si>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</si>
  <si>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</si>
  <si>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</si>
  <si>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</si>
  <si>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</si>
  <si>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</si>
  <si>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</si>
  <si>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</si>
  <si>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</si>
  <si>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</si>
  <si>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</si>
  <si>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</si>
  <si>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</si>
  <si>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</si>
  <si>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</si>
  <si>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 xml:space="preserve">Educational Options Foundation, Inc. </t>
  </si>
  <si>
    <t>Maricopa</t>
  </si>
  <si>
    <t>078558000</t>
  </si>
  <si>
    <t>Jeff Sawner</t>
  </si>
  <si>
    <t>jsawner@edopfoundation.org</t>
  </si>
  <si>
    <t>Steve Durand</t>
  </si>
  <si>
    <t xml:space="preserve">Jeff Sawner </t>
  </si>
  <si>
    <t>Steven</t>
  </si>
  <si>
    <t>Durand</t>
  </si>
  <si>
    <t>Steve@durantech.com</t>
  </si>
  <si>
    <t xml:space="preserve">William </t>
  </si>
  <si>
    <t>Sawner</t>
  </si>
  <si>
    <t>Jsawner@gmail.com</t>
  </si>
  <si>
    <t>Claudina</t>
  </si>
  <si>
    <t>Douglas</t>
  </si>
  <si>
    <t>Cdouglas@adibiz.com</t>
  </si>
  <si>
    <t xml:space="preserve">Elizabeth </t>
  </si>
  <si>
    <t>Duncan</t>
  </si>
  <si>
    <t>Eduncan@eohighschool.com</t>
  </si>
  <si>
    <t>Paulson</t>
  </si>
  <si>
    <t>Dfields@eohighschool.com</t>
  </si>
  <si>
    <t>Steve@durandtech.com</t>
  </si>
  <si>
    <t>Dines</t>
  </si>
  <si>
    <t>Bj@backbonecommunications.com</t>
  </si>
  <si>
    <t>Randy</t>
  </si>
  <si>
    <t>Babick</t>
  </si>
  <si>
    <t>Randall.babick@paradisevalley.edu</t>
  </si>
  <si>
    <t>www.eohighschool.com</t>
  </si>
  <si>
    <t>Danielle</t>
  </si>
  <si>
    <t>Comments on average salary calculation (optional):   Teacher salaries do not include Prop 301 performance pay and/or Stipends.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</si>
</sst>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 numFmtId="204" formatCode="0.00000"/>
    <numFmt numFmtId="205" formatCode="0.000000"/>
    <numFmt numFmtId="206" formatCode="0.0000000"/>
    <numFmt numFmtId="207" formatCode="0.0000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0" fillId="0" borderId="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1">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3"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3" applyNumberFormat="1" applyFont="1" applyBorder="1" applyAlignment="1">
      <alignment horizontal="right"/>
    </xf>
    <xf numFmtId="166" fontId="0" fillId="0" borderId="13" xfId="63"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3" applyNumberFormat="1" applyFont="1" applyBorder="1" applyAlignment="1">
      <alignment/>
    </xf>
    <xf numFmtId="166" fontId="0" fillId="0" borderId="13" xfId="63"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0" fontId="0" fillId="0" borderId="14" xfId="0" applyFont="1" applyBorder="1" applyAlignment="1">
      <alignment horizontal="center"/>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60"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4" xfId="59" applyFont="1" applyBorder="1" applyProtection="1">
      <alignment/>
      <protection locked="0"/>
    </xf>
    <xf numFmtId="197" fontId="0" fillId="0" borderId="14" xfId="59" applyNumberFormat="1" applyFont="1" applyBorder="1" applyProtection="1">
      <alignment/>
      <protection locked="0"/>
    </xf>
    <xf numFmtId="0" fontId="18" fillId="0" borderId="14" xfId="53" applyFont="1" applyBorder="1" applyAlignment="1" applyProtection="1">
      <alignment/>
      <protection locked="0"/>
    </xf>
    <xf numFmtId="204" fontId="0" fillId="0" borderId="12" xfId="0" applyNumberFormat="1" applyFont="1" applyBorder="1" applyAlignment="1" applyProtection="1">
      <alignment/>
      <protection locked="0"/>
    </xf>
    <xf numFmtId="38" fontId="0" fillId="0" borderId="13" xfId="0" applyNumberFormat="1" applyFont="1" applyBorder="1" applyAlignment="1" applyProtection="1">
      <alignment/>
      <protection locked="0"/>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0" fontId="0" fillId="0" borderId="20" xfId="0" applyBorder="1" applyAlignment="1">
      <alignment horizontal="center"/>
    </xf>
    <xf numFmtId="0" fontId="1" fillId="0" borderId="0" xfId="0" applyFont="1" applyAlignment="1">
      <alignment horizontal="center"/>
    </xf>
    <xf numFmtId="164" fontId="0" fillId="0" borderId="0" xfId="0" applyNumberFormat="1" applyFont="1" applyAlignment="1">
      <alignment/>
    </xf>
    <xf numFmtId="164" fontId="0" fillId="0" borderId="0" xfId="0" applyNumberFormat="1" applyAlignment="1">
      <alignmen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11" fillId="35" borderId="0" xfId="53" applyFont="1" applyFill="1" applyAlignment="1" applyProtection="1">
      <alignment horizontal="left"/>
      <protection/>
    </xf>
    <xf numFmtId="0" fontId="0" fillId="0" borderId="0" xfId="0" applyFont="1" applyAlignment="1">
      <alignment/>
    </xf>
    <xf numFmtId="0" fontId="0" fillId="0" borderId="0" xfId="0" applyAlignment="1">
      <alignment/>
    </xf>
    <xf numFmtId="0" fontId="83" fillId="0" borderId="0" xfId="0" applyFont="1" applyAlignment="1">
      <alignment horizontal="center" vertical="center" wrapText="1"/>
    </xf>
    <xf numFmtId="0" fontId="17" fillId="0" borderId="20" xfId="0" applyFont="1" applyBorder="1" applyAlignment="1">
      <alignment horizontal="center"/>
    </xf>
    <xf numFmtId="0" fontId="74" fillId="0" borderId="0" xfId="0" applyFont="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left"/>
    </xf>
    <xf numFmtId="0" fontId="0" fillId="0" borderId="12" xfId="0" applyFont="1" applyBorder="1" applyAlignment="1" applyProtection="1">
      <alignment/>
      <protection locked="0"/>
    </xf>
    <xf numFmtId="0" fontId="0" fillId="0" borderId="12" xfId="0" applyBorder="1" applyAlignment="1">
      <alignment/>
    </xf>
    <xf numFmtId="0" fontId="0" fillId="0" borderId="0" xfId="0" applyAlignment="1">
      <alignment horizontal="left"/>
    </xf>
    <xf numFmtId="0" fontId="0" fillId="0" borderId="0" xfId="0" applyFont="1" applyAlignment="1">
      <alignment horizontal="left"/>
    </xf>
    <xf numFmtId="168" fontId="0" fillId="0" borderId="12" xfId="0" applyNumberFormat="1" applyBorder="1" applyAlignment="1" applyProtection="1">
      <alignment horizontal="left"/>
      <protection locked="0"/>
    </xf>
    <xf numFmtId="0" fontId="0" fillId="0" borderId="20" xfId="0" applyFont="1" applyBorder="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12" xfId="0" applyBorder="1" applyAlignment="1" applyProtection="1">
      <alignment horizontal="center"/>
      <protection locked="0"/>
    </xf>
    <xf numFmtId="168" fontId="0" fillId="0" borderId="24" xfId="0" applyNumberFormat="1" applyBorder="1" applyAlignment="1" applyProtection="1">
      <alignment horizontal="left"/>
      <protection locked="0"/>
    </xf>
    <xf numFmtId="0" fontId="0" fillId="0" borderId="0" xfId="0" applyAlignment="1">
      <alignment horizontal="center"/>
    </xf>
    <xf numFmtId="0" fontId="0" fillId="0" borderId="0" xfId="0" applyFont="1" applyAlignment="1">
      <alignment horizontal="center"/>
    </xf>
    <xf numFmtId="0" fontId="11" fillId="35" borderId="20" xfId="53" applyFont="1" applyFill="1" applyBorder="1" applyAlignment="1" applyProtection="1">
      <alignment horizontal="left"/>
      <protection/>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0" xfId="0" applyFont="1" applyAlignment="1">
      <alignment horizontal="left" vertical="center" wrapText="1"/>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0" applyFont="1" applyBorder="1" applyAlignment="1">
      <alignment horizontal="center"/>
    </xf>
    <xf numFmtId="0" fontId="0" fillId="0" borderId="16" xfId="0" applyFont="1" applyBorder="1" applyAlignment="1">
      <alignment horizontal="center"/>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200" fontId="0" fillId="0" borderId="22" xfId="0" applyNumberFormat="1" applyFont="1" applyBorder="1" applyAlignment="1" applyProtection="1">
      <alignment horizontal="righ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0" fontId="0" fillId="38" borderId="0" xfId="53" applyFont="1" applyFill="1" applyAlignment="1" applyProtection="1">
      <alignment horizontal="left" vertical="top" wrapText="1"/>
      <protection/>
    </xf>
    <xf numFmtId="0" fontId="0" fillId="38" borderId="0" xfId="0" applyFont="1" applyFill="1" applyAlignment="1">
      <alignment horizontal="left" vertical="top" wrapText="1"/>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38" borderId="0" xfId="0" applyFill="1" applyAlignment="1">
      <alignment horizontal="left" vertical="top" wrapText="1"/>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60" applyFill="1" applyAlignment="1">
      <alignment horizontal="center" vertical="center" wrapText="1"/>
      <protection/>
    </xf>
    <xf numFmtId="49" fontId="0" fillId="0" borderId="12" xfId="58" applyNumberFormat="1" applyFont="1" applyBorder="1" applyAlignment="1">
      <alignment horizontal="left"/>
      <protection/>
    </xf>
    <xf numFmtId="0" fontId="1" fillId="0" borderId="0" xfId="58" applyFont="1" applyAlignment="1">
      <alignment horizontal="center"/>
      <protection/>
    </xf>
    <xf numFmtId="49" fontId="0" fillId="0" borderId="12" xfId="58"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Worksheet 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xdr:row>
      <xdr:rowOff>19050</xdr:rowOff>
    </xdr:from>
    <xdr:to>
      <xdr:col>4</xdr:col>
      <xdr:colOff>57150</xdr:colOff>
      <xdr:row>4</xdr:row>
      <xdr:rowOff>28575</xdr:rowOff>
    </xdr:to>
    <xdr:sp>
      <xdr:nvSpPr>
        <xdr:cNvPr id="1" name="Rectangle 4">
          <a:hlinkClick r:id="rId1"/>
        </xdr:cNvPr>
        <xdr:cNvSpPr>
          <a:spLocks/>
        </xdr:cNvSpPr>
      </xdr:nvSpPr>
      <xdr:spPr>
        <a:xfrm>
          <a:off x="1600200" y="219075"/>
          <a:ext cx="18478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2</xdr:col>
      <xdr:colOff>133350</xdr:colOff>
      <xdr:row>4</xdr:row>
      <xdr:rowOff>0</xdr:rowOff>
    </xdr:to>
    <xdr:sp>
      <xdr:nvSpPr>
        <xdr:cNvPr id="1" name="Rectangle 7">
          <a:hlinkClick r:id="rId1"/>
        </xdr:cNvPr>
        <xdr:cNvSpPr>
          <a:spLocks/>
        </xdr:cNvSpPr>
      </xdr:nvSpPr>
      <xdr:spPr>
        <a:xfrm>
          <a:off x="28575" y="419100"/>
          <a:ext cx="1323975" cy="5143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3</xdr:row>
      <xdr:rowOff>19050</xdr:rowOff>
    </xdr:from>
    <xdr:to>
      <xdr:col>3</xdr:col>
      <xdr:colOff>657225</xdr:colOff>
      <xdr:row>5</xdr:row>
      <xdr:rowOff>9525</xdr:rowOff>
    </xdr:to>
    <xdr:sp>
      <xdr:nvSpPr>
        <xdr:cNvPr id="1" name="Rectangle 5">
          <a:hlinkClick r:id="rId1"/>
        </xdr:cNvPr>
        <xdr:cNvSpPr>
          <a:spLocks/>
        </xdr:cNvSpPr>
      </xdr:nvSpPr>
      <xdr:spPr>
        <a:xfrm>
          <a:off x="1857375" y="352425"/>
          <a:ext cx="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19050</xdr:rowOff>
    </xdr:from>
    <xdr:to>
      <xdr:col>4</xdr:col>
      <xdr:colOff>38100</xdr:colOff>
      <xdr:row>4</xdr:row>
      <xdr:rowOff>9525</xdr:rowOff>
    </xdr:to>
    <xdr:sp>
      <xdr:nvSpPr>
        <xdr:cNvPr id="1" name="Rectangle 5">
          <a:hlinkClick r:id="rId1"/>
        </xdr:cNvPr>
        <xdr:cNvSpPr>
          <a:spLocks/>
        </xdr:cNvSpPr>
      </xdr:nvSpPr>
      <xdr:spPr>
        <a:xfrm>
          <a:off x="1466850" y="342900"/>
          <a:ext cx="156210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2</xdr:col>
      <xdr:colOff>514350</xdr:colOff>
      <xdr:row>0</xdr:row>
      <xdr:rowOff>57150</xdr:rowOff>
    </xdr:to>
    <xdr:sp>
      <xdr:nvSpPr>
        <xdr:cNvPr id="1" name="Rectangle 2">
          <a:hlinkClick r:id="rId1"/>
        </xdr:cNvPr>
        <xdr:cNvSpPr>
          <a:spLocks/>
        </xdr:cNvSpPr>
      </xdr:nvSpPr>
      <xdr:spPr>
        <a:xfrm>
          <a:off x="0" y="28575"/>
          <a:ext cx="723900" cy="285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I%20Business%20Solutions%20Client%20Files\EDUCATIONAL%20OPTIONS\Budgets\FY20%20Budget\proposed\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3841304</v>
          </cell>
        </row>
      </sheetData>
      <sheetData sheetId="2">
        <row r="8">
          <cell r="L8">
            <v>837406</v>
          </cell>
        </row>
        <row r="10">
          <cell r="L10">
            <v>10284</v>
          </cell>
        </row>
        <row r="11">
          <cell r="L11">
            <v>133966</v>
          </cell>
        </row>
        <row r="12">
          <cell r="L12">
            <v>0</v>
          </cell>
        </row>
        <row r="13">
          <cell r="L13">
            <v>101525</v>
          </cell>
        </row>
        <row r="14">
          <cell r="L14">
            <v>94300</v>
          </cell>
        </row>
        <row r="15">
          <cell r="L15">
            <v>467926</v>
          </cell>
        </row>
        <row r="16">
          <cell r="L16">
            <v>0</v>
          </cell>
        </row>
        <row r="17">
          <cell r="L17">
            <v>0</v>
          </cell>
        </row>
        <row r="18">
          <cell r="L18">
            <v>0</v>
          </cell>
        </row>
        <row r="19">
          <cell r="L19">
            <v>0</v>
          </cell>
        </row>
        <row r="20">
          <cell r="L20">
            <v>0</v>
          </cell>
        </row>
        <row r="21">
          <cell r="L21">
            <v>0</v>
          </cell>
        </row>
        <row r="22">
          <cell r="L22">
            <v>0</v>
          </cell>
        </row>
        <row r="25">
          <cell r="L25">
            <v>30682</v>
          </cell>
        </row>
        <row r="27">
          <cell r="L27">
            <v>17314</v>
          </cell>
        </row>
        <row r="28">
          <cell r="L28">
            <v>0</v>
          </cell>
        </row>
        <row r="29">
          <cell r="L29">
            <v>0</v>
          </cell>
        </row>
        <row r="30">
          <cell r="L30">
            <v>0</v>
          </cell>
        </row>
        <row r="31">
          <cell r="L31">
            <v>0</v>
          </cell>
        </row>
        <row r="32">
          <cell r="L32">
            <v>41504</v>
          </cell>
        </row>
        <row r="33">
          <cell r="L33">
            <v>0</v>
          </cell>
        </row>
        <row r="34">
          <cell r="L34">
            <v>0</v>
          </cell>
        </row>
        <row r="35">
          <cell r="L35">
            <v>0</v>
          </cell>
        </row>
        <row r="36">
          <cell r="L36">
            <v>0</v>
          </cell>
        </row>
        <row r="39">
          <cell r="L39">
            <v>20950</v>
          </cell>
        </row>
        <row r="40">
          <cell r="L40">
            <v>0</v>
          </cell>
        </row>
        <row r="41">
          <cell r="L41">
            <v>0</v>
          </cell>
        </row>
        <row r="42">
          <cell r="L42">
            <v>0</v>
          </cell>
        </row>
        <row r="44">
          <cell r="L44">
            <v>65071</v>
          </cell>
        </row>
        <row r="45">
          <cell r="L45">
            <v>13671</v>
          </cell>
        </row>
        <row r="46">
          <cell r="L46">
            <v>0</v>
          </cell>
        </row>
        <row r="47">
          <cell r="L47">
            <v>0</v>
          </cell>
        </row>
        <row r="48">
          <cell r="L48">
            <v>341408</v>
          </cell>
        </row>
      </sheetData>
      <sheetData sheetId="3">
        <row r="5">
          <cell r="E5">
            <v>164769</v>
          </cell>
          <cell r="N5">
            <v>89500</v>
          </cell>
        </row>
        <row r="6">
          <cell r="E6">
            <v>12338</v>
          </cell>
        </row>
        <row r="7">
          <cell r="E7">
            <v>50000</v>
          </cell>
        </row>
        <row r="12">
          <cell r="E12">
            <v>94301</v>
          </cell>
        </row>
        <row r="21">
          <cell r="E21">
            <v>20000</v>
          </cell>
          <cell r="N21">
            <v>13671</v>
          </cell>
        </row>
      </sheetData>
      <sheetData sheetId="4">
        <row r="9">
          <cell r="K9">
            <v>26764</v>
          </cell>
        </row>
        <row r="10">
          <cell r="K10">
            <v>0</v>
          </cell>
        </row>
        <row r="11">
          <cell r="K11">
            <v>0</v>
          </cell>
        </row>
        <row r="14">
          <cell r="K14">
            <v>0</v>
          </cell>
        </row>
        <row r="15">
          <cell r="K15">
            <v>0</v>
          </cell>
        </row>
        <row r="16">
          <cell r="K16">
            <v>0</v>
          </cell>
        </row>
        <row r="19">
          <cell r="K19">
            <v>0</v>
          </cell>
        </row>
        <row r="20">
          <cell r="K20">
            <v>0</v>
          </cell>
        </row>
        <row r="21">
          <cell r="K21">
            <v>0</v>
          </cell>
        </row>
        <row r="26">
          <cell r="K26">
            <v>18065</v>
          </cell>
        </row>
        <row r="27">
          <cell r="K27">
            <v>0</v>
          </cell>
        </row>
        <row r="28">
          <cell r="K28">
            <v>0</v>
          </cell>
        </row>
        <row r="31">
          <cell r="K31">
            <v>0</v>
          </cell>
        </row>
        <row r="32">
          <cell r="K32">
            <v>0</v>
          </cell>
        </row>
        <row r="33">
          <cell r="K33">
            <v>0</v>
          </cell>
        </row>
        <row r="36">
          <cell r="K36">
            <v>0</v>
          </cell>
        </row>
        <row r="37">
          <cell r="K37">
            <v>0</v>
          </cell>
        </row>
        <row r="38">
          <cell r="K38">
            <v>0</v>
          </cell>
        </row>
        <row r="43">
          <cell r="K43">
            <v>20242</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A1">
      <selection activeCell="W30" sqref="W30"/>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4" t="s">
        <v>0</v>
      </c>
      <c r="B1" s="554"/>
      <c r="C1" s="554"/>
      <c r="D1" s="561" t="s">
        <v>533</v>
      </c>
      <c r="E1" s="562"/>
      <c r="F1" s="562"/>
      <c r="G1" s="562"/>
      <c r="H1" s="562"/>
      <c r="I1" s="562"/>
      <c r="L1" s="32" t="s">
        <v>1</v>
      </c>
      <c r="M1" s="565" t="s">
        <v>534</v>
      </c>
      <c r="N1" s="566"/>
      <c r="O1" s="563" t="s">
        <v>89</v>
      </c>
      <c r="P1" s="563"/>
      <c r="Q1" s="563"/>
      <c r="R1" s="200" t="s">
        <v>535</v>
      </c>
    </row>
    <row r="2" spans="4:18" ht="12.75" customHeight="1">
      <c r="D2" s="536" t="s">
        <v>87</v>
      </c>
      <c r="E2" s="536"/>
      <c r="F2" s="536"/>
      <c r="G2" s="536"/>
      <c r="H2" s="536"/>
      <c r="I2" s="536"/>
      <c r="M2" s="29"/>
      <c r="Q2" s="29"/>
      <c r="R2" s="30"/>
    </row>
    <row r="3" spans="4:18" ht="12.75" customHeight="1">
      <c r="D3" s="542"/>
      <c r="E3" s="542"/>
      <c r="F3" s="542"/>
      <c r="G3" s="542"/>
      <c r="H3" s="542"/>
      <c r="I3" s="542"/>
      <c r="M3" s="29"/>
      <c r="Q3" s="29"/>
      <c r="R3" s="30"/>
    </row>
    <row r="4" spans="4:18" ht="12.75" customHeight="1">
      <c r="D4" s="536" t="s">
        <v>88</v>
      </c>
      <c r="E4" s="536"/>
      <c r="F4" s="536"/>
      <c r="G4" s="536"/>
      <c r="H4" s="536"/>
      <c r="I4" s="536"/>
      <c r="L4" s="546">
        <f>IF(OR('Charter Contact Info'!G7="",'Charter Contact Info'!G9="",'Charter Contact Info'!G10="",'Charter Contact Info'!G11="",'Charter Contact Info'!E12="",'Charter Contact Info'!E13="",'Charter Contact Info'!E14=""),"Please ensure Charter Contact Info tab is complete","")</f>
      </c>
      <c r="M4" s="546"/>
      <c r="N4" s="546"/>
      <c r="O4" s="546"/>
      <c r="P4" s="546"/>
      <c r="Q4" s="546"/>
      <c r="R4" s="546"/>
    </row>
    <row r="5" spans="12:18" ht="12.75" customHeight="1">
      <c r="L5" s="546">
        <f>IF('Charter Contact Info'!C23="","Please enter a SIS Vendor on the Charter Contact Info Tab","")</f>
      </c>
      <c r="M5" s="546"/>
      <c r="N5" s="546"/>
      <c r="O5" s="546"/>
      <c r="P5" s="546"/>
      <c r="Q5" s="546"/>
      <c r="R5" s="546"/>
    </row>
    <row r="6" spans="1:18" ht="18" customHeight="1">
      <c r="A6" s="29"/>
      <c r="B6" s="553" t="s">
        <v>453</v>
      </c>
      <c r="C6" s="553"/>
      <c r="D6" s="553"/>
      <c r="E6" s="553"/>
      <c r="F6" s="553"/>
      <c r="G6" s="553"/>
      <c r="H6" s="553"/>
      <c r="I6" s="553"/>
      <c r="J6" s="33"/>
      <c r="K6" s="35" t="s">
        <v>43</v>
      </c>
      <c r="L6" s="538" t="s">
        <v>483</v>
      </c>
      <c r="M6" s="538"/>
      <c r="N6" s="538"/>
      <c r="O6" s="538"/>
      <c r="P6" s="538"/>
      <c r="Q6" s="36" t="s">
        <v>4</v>
      </c>
      <c r="R6" s="483">
        <f>'[1]Cover'!$R$13</f>
        <v>3841304</v>
      </c>
    </row>
    <row r="7" spans="1:18" ht="12.75">
      <c r="A7" s="29"/>
      <c r="B7" s="29"/>
      <c r="C7" s="29"/>
      <c r="D7" s="29"/>
      <c r="E7" s="29"/>
      <c r="F7" s="29"/>
      <c r="G7" s="29"/>
      <c r="J7" s="33"/>
      <c r="K7" s="35"/>
      <c r="L7" s="538"/>
      <c r="M7" s="539"/>
      <c r="N7" s="539"/>
      <c r="O7" s="539"/>
      <c r="P7" s="539"/>
      <c r="Q7" s="36"/>
      <c r="R7" s="259"/>
    </row>
    <row r="8" spans="1:18" ht="18" customHeight="1">
      <c r="A8" s="29"/>
      <c r="B8" s="553" t="s">
        <v>2</v>
      </c>
      <c r="C8" s="553"/>
      <c r="D8" s="553"/>
      <c r="E8" s="553"/>
      <c r="F8" s="553"/>
      <c r="G8" s="553"/>
      <c r="H8" s="553"/>
      <c r="I8" s="553"/>
      <c r="J8" s="34"/>
      <c r="K8" s="35" t="s">
        <v>44</v>
      </c>
      <c r="L8" s="543" t="s">
        <v>484</v>
      </c>
      <c r="M8" s="543"/>
      <c r="N8" s="543"/>
      <c r="O8" s="543"/>
      <c r="P8" s="543"/>
      <c r="Q8" s="543"/>
      <c r="R8" s="259"/>
    </row>
    <row r="9" spans="1:18" ht="12.75">
      <c r="A9" s="29"/>
      <c r="B9" s="29"/>
      <c r="C9" s="29"/>
      <c r="D9" s="29"/>
      <c r="E9" s="29"/>
      <c r="F9" s="29"/>
      <c r="G9" s="29"/>
      <c r="J9" s="33"/>
      <c r="L9" s="29"/>
      <c r="M9" s="29"/>
      <c r="N9" s="29"/>
      <c r="O9" t="s">
        <v>5</v>
      </c>
      <c r="P9" s="38" t="s">
        <v>6</v>
      </c>
      <c r="Q9" s="39" t="s">
        <v>4</v>
      </c>
      <c r="R9" s="37">
        <v>219926</v>
      </c>
    </row>
    <row r="10" spans="1:18" ht="12.75" customHeight="1">
      <c r="A10" s="29"/>
      <c r="B10" s="537" t="s">
        <v>3</v>
      </c>
      <c r="C10" s="537"/>
      <c r="D10" s="537"/>
      <c r="E10" s="537"/>
      <c r="F10" s="537"/>
      <c r="G10" s="537"/>
      <c r="H10" s="537"/>
      <c r="I10" s="537"/>
      <c r="J10" s="564"/>
      <c r="K10" s="35"/>
      <c r="L10" s="256"/>
      <c r="M10" s="256"/>
      <c r="N10" s="256"/>
      <c r="O10" t="s">
        <v>8</v>
      </c>
      <c r="P10" s="38" t="s">
        <v>9</v>
      </c>
      <c r="Q10" s="39" t="s">
        <v>4</v>
      </c>
      <c r="R10" s="37"/>
    </row>
    <row r="11" spans="1:18" ht="12.75" customHeight="1">
      <c r="A11" s="29"/>
      <c r="B11" s="537"/>
      <c r="C11" s="537"/>
      <c r="D11" s="537"/>
      <c r="E11" s="537"/>
      <c r="F11" s="537"/>
      <c r="G11" s="537"/>
      <c r="H11" s="537"/>
      <c r="I11" s="537"/>
      <c r="J11" s="564"/>
      <c r="O11" t="s">
        <v>7</v>
      </c>
      <c r="P11" s="38" t="s">
        <v>68</v>
      </c>
      <c r="Q11" s="39" t="s">
        <v>4</v>
      </c>
      <c r="R11" s="40">
        <v>4769433</v>
      </c>
    </row>
    <row r="12" spans="1:18" ht="12.75" customHeight="1">
      <c r="A12" s="29"/>
      <c r="B12" s="29"/>
      <c r="C12" s="29"/>
      <c r="D12" s="542" t="s">
        <v>82</v>
      </c>
      <c r="E12" s="542"/>
      <c r="F12" s="542"/>
      <c r="G12" s="542"/>
      <c r="H12" s="542"/>
      <c r="J12" s="33"/>
      <c r="O12" t="s">
        <v>10</v>
      </c>
      <c r="P12" s="38" t="s">
        <v>69</v>
      </c>
      <c r="Q12" s="39" t="s">
        <v>4</v>
      </c>
      <c r="R12" s="40">
        <v>179245</v>
      </c>
    </row>
    <row r="13" spans="2:18" ht="12.75" customHeight="1">
      <c r="B13" s="549" t="s">
        <v>79</v>
      </c>
      <c r="C13" s="549"/>
      <c r="D13" s="550"/>
      <c r="E13" s="550"/>
      <c r="F13" s="550"/>
      <c r="G13" s="550"/>
      <c r="H13" s="550"/>
      <c r="I13" s="549"/>
      <c r="J13" s="33"/>
      <c r="O13" t="s">
        <v>45</v>
      </c>
      <c r="Q13" s="39" t="s">
        <v>4</v>
      </c>
      <c r="R13" s="41">
        <f>SUM(R9:R12)</f>
        <v>5168604</v>
      </c>
    </row>
    <row r="14" spans="10:18" ht="12.75" customHeight="1">
      <c r="J14" s="33"/>
      <c r="P14" s="38"/>
      <c r="Q14" s="39"/>
      <c r="R14" s="260"/>
    </row>
    <row r="15" spans="10:18" ht="12.75" customHeight="1">
      <c r="J15" s="33"/>
      <c r="L15" s="551" t="s">
        <v>138</v>
      </c>
      <c r="M15" s="551"/>
      <c r="N15" s="551"/>
      <c r="O15" s="567" t="s">
        <v>536</v>
      </c>
      <c r="P15" s="568"/>
      <c r="Q15" s="568"/>
      <c r="R15" s="568"/>
    </row>
    <row r="16" spans="1:18" ht="12.75" customHeight="1">
      <c r="A16" s="30"/>
      <c r="B16" s="573" t="s">
        <v>80</v>
      </c>
      <c r="C16" s="573"/>
      <c r="D16" s="573"/>
      <c r="E16" s="573"/>
      <c r="F16" s="573"/>
      <c r="G16" s="573"/>
      <c r="H16" s="573"/>
      <c r="I16" s="573"/>
      <c r="J16" s="33"/>
      <c r="L16" s="12" t="s">
        <v>136</v>
      </c>
      <c r="M16" s="552">
        <v>4806213365</v>
      </c>
      <c r="N16" s="552"/>
      <c r="O16" s="39" t="s">
        <v>137</v>
      </c>
      <c r="P16" s="569" t="s">
        <v>537</v>
      </c>
      <c r="Q16" s="570"/>
      <c r="R16" s="570"/>
    </row>
    <row r="17" spans="10:18" ht="12.75" customHeight="1">
      <c r="J17" s="33"/>
      <c r="P17" s="38"/>
      <c r="Q17" s="39"/>
      <c r="R17" s="260"/>
    </row>
    <row r="18" spans="10:18" ht="12.75" customHeight="1">
      <c r="J18" s="33"/>
      <c r="L18" s="558" t="s">
        <v>485</v>
      </c>
      <c r="M18" s="558"/>
      <c r="N18" s="558"/>
      <c r="O18" s="558"/>
      <c r="P18" s="558"/>
      <c r="Q18" s="558"/>
      <c r="R18" s="558"/>
    </row>
    <row r="19" spans="2:18" ht="12.75" customHeight="1">
      <c r="B19" s="574" t="s">
        <v>490</v>
      </c>
      <c r="C19" s="574"/>
      <c r="D19" s="574"/>
      <c r="E19" s="574"/>
      <c r="F19" s="574"/>
      <c r="G19" s="574"/>
      <c r="H19" s="574"/>
      <c r="I19" s="574"/>
      <c r="J19" s="33"/>
      <c r="L19" s="558" t="s">
        <v>329</v>
      </c>
      <c r="M19" s="558"/>
      <c r="N19" s="558"/>
      <c r="O19" s="558"/>
      <c r="P19" s="559">
        <v>43658</v>
      </c>
      <c r="Q19" s="559"/>
      <c r="R19" s="559"/>
    </row>
    <row r="20" spans="3:18" ht="12.75" customHeight="1">
      <c r="C20" s="557" t="s">
        <v>81</v>
      </c>
      <c r="D20" s="557"/>
      <c r="F20" s="559">
        <v>43642</v>
      </c>
      <c r="G20" s="559"/>
      <c r="H20" s="559"/>
      <c r="I20" s="271">
        <f>IF(AND(ISNUMBER(SEARCH("Proposed*",D12)),F20=""),"Please enter a Proposed Date","")</f>
      </c>
      <c r="J20" s="33"/>
      <c r="L20" s="548" t="s">
        <v>463</v>
      </c>
      <c r="M20" s="548"/>
      <c r="N20" s="548"/>
      <c r="O20" s="548"/>
      <c r="P20" s="547" t="s">
        <v>327</v>
      </c>
      <c r="Q20" s="547"/>
      <c r="R20" s="547"/>
    </row>
    <row r="21" spans="3:18" ht="12.75" customHeight="1">
      <c r="C21" s="557" t="s">
        <v>82</v>
      </c>
      <c r="D21" s="557"/>
      <c r="F21" s="572">
        <v>43657</v>
      </c>
      <c r="G21" s="572"/>
      <c r="H21" s="572"/>
      <c r="I21" s="270">
        <f>IF(AND(ISNUMBER(SEARCH("Adopted*",D12)),F21=""),"Please enter an Adopted Date","")</f>
      </c>
      <c r="J21" s="33"/>
      <c r="L21" s="544"/>
      <c r="M21" s="545"/>
      <c r="N21" s="545"/>
      <c r="O21" s="545"/>
      <c r="P21" s="545"/>
      <c r="Q21" s="545"/>
      <c r="R21" s="545"/>
    </row>
    <row r="22" spans="1:18" ht="12.75" customHeight="1">
      <c r="A22" s="30"/>
      <c r="C22" s="557" t="s">
        <v>83</v>
      </c>
      <c r="D22" s="557"/>
      <c r="F22" s="572"/>
      <c r="G22" s="572"/>
      <c r="H22" s="572"/>
      <c r="I22" s="254">
        <f>IF(AND(ISNUMBER(SEARCH("Revised*",D12)),F22=""),"Please enter a Revised Date","")</f>
      </c>
      <c r="J22" s="42"/>
      <c r="L22" s="556"/>
      <c r="M22" s="556"/>
      <c r="N22" s="556"/>
      <c r="O22" s="247"/>
      <c r="P22" s="556"/>
      <c r="Q22" s="556"/>
      <c r="R22" s="556"/>
    </row>
    <row r="23" spans="6:22" ht="12.75" customHeight="1">
      <c r="F23" s="536" t="s">
        <v>84</v>
      </c>
      <c r="G23" s="536"/>
      <c r="H23" s="536"/>
      <c r="J23" s="33"/>
      <c r="L23" s="560" t="s">
        <v>245</v>
      </c>
      <c r="M23" s="560"/>
      <c r="N23" s="560"/>
      <c r="O23" s="46"/>
      <c r="P23" s="560" t="s">
        <v>245</v>
      </c>
      <c r="Q23" s="560"/>
      <c r="R23" s="560"/>
      <c r="S23" s="246"/>
      <c r="T23" s="246"/>
      <c r="U23" s="246"/>
      <c r="V23" s="85"/>
    </row>
    <row r="24" spans="2:18" ht="12.75" customHeight="1">
      <c r="B24" s="43"/>
      <c r="E24" s="44"/>
      <c r="J24" s="33"/>
      <c r="L24" s="12"/>
      <c r="M24" s="12"/>
      <c r="N24" s="12"/>
      <c r="O24" s="12"/>
      <c r="P24" s="12"/>
      <c r="Q24" s="12"/>
      <c r="R24" s="12"/>
    </row>
    <row r="25" spans="1:21" ht="12.75" customHeight="1">
      <c r="A25" s="540"/>
      <c r="B25" s="540"/>
      <c r="C25" s="540"/>
      <c r="D25" s="540"/>
      <c r="E25" s="540"/>
      <c r="F25" s="540"/>
      <c r="G25" s="540"/>
      <c r="H25" s="540"/>
      <c r="I25" s="540"/>
      <c r="J25" s="541"/>
      <c r="L25" s="548">
        <f>IF(OR(L26="",P26=""),"Please enter typed school official names","")</f>
      </c>
      <c r="M25" s="548"/>
      <c r="N25" s="548"/>
      <c r="O25" s="548"/>
      <c r="P25" s="548"/>
      <c r="Q25" s="548"/>
      <c r="R25" s="548"/>
      <c r="U25" s="266"/>
    </row>
    <row r="26" spans="1:18" ht="12.75" customHeight="1">
      <c r="A26" s="540"/>
      <c r="B26" s="540"/>
      <c r="C26" s="540"/>
      <c r="D26" s="540"/>
      <c r="E26" s="540"/>
      <c r="F26" s="540"/>
      <c r="G26" s="540"/>
      <c r="H26" s="540"/>
      <c r="I26" s="540"/>
      <c r="J26" s="541"/>
      <c r="L26" s="555" t="s">
        <v>538</v>
      </c>
      <c r="M26" s="542"/>
      <c r="N26" s="542"/>
      <c r="O26" s="46"/>
      <c r="P26" s="555" t="s">
        <v>539</v>
      </c>
      <c r="Q26" s="542"/>
      <c r="R26" s="542"/>
    </row>
    <row r="27" spans="1:18" ht="12.75" customHeight="1">
      <c r="A27" s="540"/>
      <c r="B27" s="540"/>
      <c r="C27" s="540"/>
      <c r="D27" s="540"/>
      <c r="E27" s="540"/>
      <c r="F27" s="540"/>
      <c r="G27" s="540"/>
      <c r="H27" s="540"/>
      <c r="I27" s="540"/>
      <c r="J27" s="541"/>
      <c r="L27" s="560" t="s">
        <v>247</v>
      </c>
      <c r="M27" s="536"/>
      <c r="N27" s="536"/>
      <c r="O27" s="46"/>
      <c r="P27" s="560" t="s">
        <v>247</v>
      </c>
      <c r="Q27" s="536"/>
      <c r="R27" s="536"/>
    </row>
    <row r="28" spans="2:10" ht="12.75" customHeight="1">
      <c r="B28" s="30"/>
      <c r="C28" s="43"/>
      <c r="D28" s="43"/>
      <c r="F28" s="30"/>
      <c r="G28" s="45"/>
      <c r="H28" s="29"/>
      <c r="I28" s="29"/>
      <c r="J28" s="34"/>
    </row>
    <row r="29" spans="1:19" ht="12.75" customHeight="1">
      <c r="A29" s="556"/>
      <c r="B29" s="556"/>
      <c r="C29" s="556"/>
      <c r="D29" s="556"/>
      <c r="E29" s="556"/>
      <c r="F29" s="30"/>
      <c r="G29" s="571"/>
      <c r="H29" s="571"/>
      <c r="I29" s="571"/>
      <c r="J29" s="34"/>
      <c r="L29" s="543" t="s">
        <v>486</v>
      </c>
      <c r="M29" s="543"/>
      <c r="N29" s="575"/>
      <c r="O29" s="575"/>
      <c r="P29" s="575"/>
      <c r="Q29" s="575"/>
      <c r="R29" s="575"/>
      <c r="S29" s="543"/>
    </row>
    <row r="30" spans="8:19" ht="12.75" customHeight="1" thickBot="1">
      <c r="H30" s="29"/>
      <c r="I30" s="29"/>
      <c r="J30" s="34"/>
      <c r="L30" s="548">
        <f>IF((BudgetYearSalary)=0,"Average teacher salary information is not complete",IF(AND((PriorYearSalary)=0,(L31)=""),"Average teacher salary information is not complete",""))</f>
      </c>
      <c r="M30" s="548"/>
      <c r="N30" s="548"/>
      <c r="O30" s="548"/>
      <c r="P30" s="548"/>
      <c r="Q30" s="548"/>
      <c r="R30" s="548"/>
      <c r="S30" s="482"/>
    </row>
    <row r="31" spans="1:18" ht="12.75" customHeight="1" thickBot="1">
      <c r="A31" s="556"/>
      <c r="B31" s="556"/>
      <c r="C31" s="556"/>
      <c r="D31" s="556"/>
      <c r="E31" s="556"/>
      <c r="F31" s="30"/>
      <c r="G31" s="571"/>
      <c r="H31" s="571"/>
      <c r="I31" s="571"/>
      <c r="J31" s="33"/>
      <c r="L31" s="484"/>
      <c r="M31" s="248" t="s">
        <v>452</v>
      </c>
      <c r="N31" s="254"/>
      <c r="O31" s="254"/>
      <c r="P31" s="254"/>
      <c r="Q31" s="254"/>
      <c r="R31" s="254"/>
    </row>
    <row r="32" spans="10:19" ht="12.75" customHeight="1">
      <c r="J32" s="33"/>
      <c r="L32" s="248" t="s">
        <v>487</v>
      </c>
      <c r="M32" s="453"/>
      <c r="N32" s="453"/>
      <c r="O32" s="509"/>
      <c r="P32" s="509"/>
      <c r="Q32" s="39" t="s">
        <v>4</v>
      </c>
      <c r="R32" s="253">
        <v>41380</v>
      </c>
      <c r="S32" s="272">
        <f>IF(OR(BudgetYearSalary=0,PriorYearSalary=0),1/error,"")</f>
      </c>
    </row>
    <row r="33" spans="1:18" ht="12.75" customHeight="1">
      <c r="A33" s="556"/>
      <c r="B33" s="556"/>
      <c r="C33" s="556"/>
      <c r="D33" s="556"/>
      <c r="E33" s="556"/>
      <c r="F33" s="30"/>
      <c r="G33" s="571"/>
      <c r="H33" s="571"/>
      <c r="I33" s="571"/>
      <c r="J33" s="33"/>
      <c r="L33" s="248" t="s">
        <v>488</v>
      </c>
      <c r="M33" s="85"/>
      <c r="N33" s="85"/>
      <c r="O33" s="509"/>
      <c r="P33" s="509"/>
      <c r="Q33" s="39" t="s">
        <v>4</v>
      </c>
      <c r="R33" s="40">
        <v>39397</v>
      </c>
    </row>
    <row r="34" spans="10:18" ht="12.75" customHeight="1">
      <c r="J34" s="33"/>
      <c r="L34" s="248" t="s">
        <v>489</v>
      </c>
      <c r="M34" s="85"/>
      <c r="N34" s="85"/>
      <c r="O34" s="509"/>
      <c r="P34" s="509"/>
      <c r="Q34" s="39" t="s">
        <v>4</v>
      </c>
      <c r="R34" s="40">
        <f>R32-R33</f>
        <v>1983</v>
      </c>
    </row>
    <row r="35" spans="1:18" ht="12.75" customHeight="1">
      <c r="A35" s="556"/>
      <c r="B35" s="556"/>
      <c r="C35" s="556"/>
      <c r="D35" s="556"/>
      <c r="E35" s="556"/>
      <c r="F35" s="30"/>
      <c r="G35" s="571"/>
      <c r="H35" s="571"/>
      <c r="I35" s="571"/>
      <c r="J35" s="33"/>
      <c r="L35" s="248" t="s">
        <v>281</v>
      </c>
      <c r="Q35" s="39"/>
      <c r="R35" s="261">
        <f>IF(PriorYearSalary&gt;0,R34/R33,0)</f>
        <v>0.05</v>
      </c>
    </row>
    <row r="36" spans="4:18" ht="12.75" customHeight="1">
      <c r="D36" s="29"/>
      <c r="E36" s="29"/>
      <c r="F36" s="29"/>
      <c r="G36" s="29"/>
      <c r="J36" s="33"/>
      <c r="L36" s="527" t="s">
        <v>562</v>
      </c>
      <c r="M36" s="528"/>
      <c r="N36" s="528"/>
      <c r="O36" s="528"/>
      <c r="P36" s="528"/>
      <c r="Q36" s="528"/>
      <c r="R36" s="529"/>
    </row>
    <row r="37" spans="1:18" ht="12.75" customHeight="1">
      <c r="A37" s="556"/>
      <c r="B37" s="556"/>
      <c r="C37" s="556"/>
      <c r="D37" s="556"/>
      <c r="E37" s="556"/>
      <c r="F37" s="30"/>
      <c r="G37" s="571"/>
      <c r="H37" s="571"/>
      <c r="I37" s="571"/>
      <c r="K37" s="258"/>
      <c r="L37" s="530"/>
      <c r="M37" s="531"/>
      <c r="N37" s="531"/>
      <c r="O37" s="531"/>
      <c r="P37" s="531"/>
      <c r="Q37" s="531"/>
      <c r="R37" s="532"/>
    </row>
    <row r="38" spans="4:19" ht="12.75" customHeight="1">
      <c r="D38" s="29"/>
      <c r="E38" s="29"/>
      <c r="F38" s="29"/>
      <c r="G38" s="29"/>
      <c r="K38" s="143"/>
      <c r="L38" s="530"/>
      <c r="M38" s="531"/>
      <c r="N38" s="531"/>
      <c r="O38" s="531"/>
      <c r="P38" s="531"/>
      <c r="Q38" s="531"/>
      <c r="R38" s="532"/>
      <c r="S38" s="258"/>
    </row>
    <row r="39" spans="1:19" ht="12.75" customHeight="1">
      <c r="A39" s="556"/>
      <c r="B39" s="556"/>
      <c r="C39" s="556"/>
      <c r="D39" s="556"/>
      <c r="E39" s="556"/>
      <c r="F39" s="30"/>
      <c r="G39" s="571"/>
      <c r="H39" s="571"/>
      <c r="I39" s="571"/>
      <c r="K39" s="143"/>
      <c r="L39" s="530"/>
      <c r="M39" s="531"/>
      <c r="N39" s="531"/>
      <c r="O39" s="531"/>
      <c r="P39" s="531"/>
      <c r="Q39" s="531"/>
      <c r="R39" s="532"/>
      <c r="S39" s="258"/>
    </row>
    <row r="40" spans="4:19" ht="12.75" customHeight="1">
      <c r="D40" s="29"/>
      <c r="E40" s="29"/>
      <c r="F40" s="29"/>
      <c r="G40" s="29"/>
      <c r="K40" s="143"/>
      <c r="L40" s="533"/>
      <c r="M40" s="534"/>
      <c r="N40" s="534"/>
      <c r="O40" s="534"/>
      <c r="P40" s="534"/>
      <c r="Q40" s="534"/>
      <c r="R40" s="535"/>
      <c r="S40" s="258"/>
    </row>
    <row r="41" spans="1:19" ht="12.75" customHeight="1">
      <c r="A41" s="556"/>
      <c r="B41" s="556"/>
      <c r="C41" s="556"/>
      <c r="D41" s="556"/>
      <c r="E41" s="556"/>
      <c r="F41" s="30"/>
      <c r="G41" s="571"/>
      <c r="H41" s="571"/>
      <c r="I41" s="571"/>
      <c r="K41" s="258"/>
      <c r="L41" s="248" t="s">
        <v>464</v>
      </c>
      <c r="M41" s="510"/>
      <c r="N41" s="510"/>
      <c r="O41" s="510"/>
      <c r="P41" s="510"/>
      <c r="Q41" s="265" t="s">
        <v>4</v>
      </c>
      <c r="R41" s="253">
        <v>35451</v>
      </c>
      <c r="S41" s="496"/>
    </row>
    <row r="42" spans="1:19" ht="12.75" customHeight="1">
      <c r="A42" s="536" t="s">
        <v>85</v>
      </c>
      <c r="B42" s="536"/>
      <c r="C42" s="536"/>
      <c r="D42" s="536"/>
      <c r="E42" s="536"/>
      <c r="F42" s="30"/>
      <c r="G42" s="536" t="s">
        <v>42</v>
      </c>
      <c r="H42" s="536"/>
      <c r="I42" s="536"/>
      <c r="K42" s="258"/>
      <c r="L42" s="248" t="s">
        <v>465</v>
      </c>
      <c r="M42" s="510"/>
      <c r="N42" s="510"/>
      <c r="O42" s="510"/>
      <c r="P42" s="510"/>
      <c r="Q42" s="510"/>
      <c r="R42" s="511">
        <f>IF(PriorYearSalary&gt;0,((BudgetYearSalary-R41)/R41),0)</f>
        <v>0.167</v>
      </c>
      <c r="S42" s="496"/>
    </row>
  </sheetData>
  <sheetProtection sheet="1" formatColumns="0" formatRows="0"/>
  <mergeCells count="69">
    <mergeCell ref="L29:S29"/>
    <mergeCell ref="L30:R30"/>
    <mergeCell ref="P22:R22"/>
    <mergeCell ref="L23:N23"/>
    <mergeCell ref="P23:R23"/>
    <mergeCell ref="A41:E41"/>
    <mergeCell ref="A35:E35"/>
    <mergeCell ref="A29:E29"/>
    <mergeCell ref="G35:I35"/>
    <mergeCell ref="A33:E33"/>
    <mergeCell ref="G42:I42"/>
    <mergeCell ref="A42:E42"/>
    <mergeCell ref="A37:E37"/>
    <mergeCell ref="A39:E39"/>
    <mergeCell ref="F21:H21"/>
    <mergeCell ref="C22:D22"/>
    <mergeCell ref="G29:I29"/>
    <mergeCell ref="G33:I33"/>
    <mergeCell ref="G31:I31"/>
    <mergeCell ref="A27:J27"/>
    <mergeCell ref="G41:I41"/>
    <mergeCell ref="D2:I2"/>
    <mergeCell ref="D3:I3"/>
    <mergeCell ref="G37:I37"/>
    <mergeCell ref="G39:I39"/>
    <mergeCell ref="F22:H22"/>
    <mergeCell ref="A31:E31"/>
    <mergeCell ref="B16:I16"/>
    <mergeCell ref="B19:I19"/>
    <mergeCell ref="P27:R27"/>
    <mergeCell ref="D1:I1"/>
    <mergeCell ref="L19:O19"/>
    <mergeCell ref="O1:Q1"/>
    <mergeCell ref="J10:J11"/>
    <mergeCell ref="M1:N1"/>
    <mergeCell ref="L27:N27"/>
    <mergeCell ref="O15:R15"/>
    <mergeCell ref="A26:J26"/>
    <mergeCell ref="P16:R16"/>
    <mergeCell ref="A1:C1"/>
    <mergeCell ref="L26:N26"/>
    <mergeCell ref="P26:R26"/>
    <mergeCell ref="L22:N22"/>
    <mergeCell ref="C20:D20"/>
    <mergeCell ref="L18:R18"/>
    <mergeCell ref="P19:R19"/>
    <mergeCell ref="L25:R25"/>
    <mergeCell ref="F20:H20"/>
    <mergeCell ref="C21:D21"/>
    <mergeCell ref="L4:R4"/>
    <mergeCell ref="L5:R5"/>
    <mergeCell ref="P20:R20"/>
    <mergeCell ref="L20:O20"/>
    <mergeCell ref="B13:I13"/>
    <mergeCell ref="L15:N15"/>
    <mergeCell ref="M16:N16"/>
    <mergeCell ref="B6:I6"/>
    <mergeCell ref="B8:I8"/>
    <mergeCell ref="B10:I10"/>
    <mergeCell ref="L36:R40"/>
    <mergeCell ref="D4:I4"/>
    <mergeCell ref="B11:I11"/>
    <mergeCell ref="L6:P6"/>
    <mergeCell ref="L7:P7"/>
    <mergeCell ref="A25:J25"/>
    <mergeCell ref="D12:H12"/>
    <mergeCell ref="F23:H23"/>
    <mergeCell ref="L8:Q8"/>
    <mergeCell ref="L21:R21"/>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97">
      <selection activeCell="B9" sqref="B9"/>
    </sheetView>
  </sheetViews>
  <sheetFormatPr defaultColWidth="9.140625" defaultRowHeight="12.75"/>
  <cols>
    <col min="1" max="1" width="39.421875" style="297" customWidth="1"/>
    <col min="2" max="2" width="14.421875" style="297" customWidth="1"/>
    <col min="3" max="3" width="16.28125" style="297" customWidth="1"/>
    <col min="4" max="5" width="14.421875" style="297" customWidth="1"/>
    <col min="6" max="6" width="4.57421875" style="297" customWidth="1"/>
    <col min="7" max="7" width="15.8515625" style="297" customWidth="1"/>
    <col min="8" max="8" width="15.7109375" style="297" customWidth="1"/>
    <col min="9" max="9" width="15.28125" style="297" customWidth="1"/>
    <col min="10" max="10" width="13.7109375" style="297" customWidth="1"/>
    <col min="11" max="14" width="9.140625" style="297" customWidth="1"/>
    <col min="15" max="15" width="2.7109375" style="297" customWidth="1"/>
    <col min="16" max="16" width="10.421875" style="297" customWidth="1"/>
    <col min="17" max="16384" width="9.140625" style="297" customWidth="1"/>
  </cols>
  <sheetData>
    <row r="1" spans="1:10" ht="12.75">
      <c r="A1" s="315" t="s">
        <v>455</v>
      </c>
      <c r="B1" s="688" t="str">
        <f>Cover!D1</f>
        <v>Educational Options Foundation, Inc. </v>
      </c>
      <c r="C1" s="688"/>
      <c r="D1" s="315" t="s">
        <v>330</v>
      </c>
      <c r="E1" s="688" t="str">
        <f>Cover!M1</f>
        <v>Maricopa</v>
      </c>
      <c r="F1" s="688"/>
      <c r="G1" s="688"/>
      <c r="H1" s="315" t="s">
        <v>190</v>
      </c>
      <c r="I1" s="690" t="str">
        <f>Cover!R1</f>
        <v>078558000</v>
      </c>
      <c r="J1" s="690"/>
    </row>
    <row r="2" spans="1:10" ht="12.75">
      <c r="A2" s="315"/>
      <c r="B2" s="370"/>
      <c r="C2" s="371"/>
      <c r="D2" s="315"/>
      <c r="E2" s="370"/>
      <c r="F2" s="371"/>
      <c r="G2" s="371"/>
      <c r="I2" s="315"/>
      <c r="J2" s="371"/>
    </row>
    <row r="3" spans="1:10" ht="12.75">
      <c r="A3" s="689" t="s">
        <v>418</v>
      </c>
      <c r="B3" s="689"/>
      <c r="C3" s="689"/>
      <c r="D3" s="689"/>
      <c r="E3" s="689"/>
      <c r="F3" s="689"/>
      <c r="G3" s="689"/>
      <c r="H3" s="689"/>
      <c r="I3" s="689"/>
      <c r="J3" s="689"/>
    </row>
    <row r="4" spans="1:10" ht="12.75">
      <c r="A4" s="689" t="s">
        <v>402</v>
      </c>
      <c r="B4" s="689"/>
      <c r="C4" s="689"/>
      <c r="D4" s="689"/>
      <c r="E4" s="689"/>
      <c r="F4" s="689"/>
      <c r="G4" s="689"/>
      <c r="H4" s="689"/>
      <c r="I4" s="689"/>
      <c r="J4" s="689"/>
    </row>
    <row r="5" spans="1:10" ht="12.75">
      <c r="A5" s="689" t="s">
        <v>419</v>
      </c>
      <c r="B5" s="689"/>
      <c r="C5" s="689"/>
      <c r="D5" s="689"/>
      <c r="E5" s="689"/>
      <c r="F5" s="689"/>
      <c r="G5" s="689"/>
      <c r="H5" s="689"/>
      <c r="I5" s="689"/>
      <c r="J5" s="689"/>
    </row>
    <row r="6" ht="12.75">
      <c r="J6" s="313" t="s">
        <v>479</v>
      </c>
    </row>
    <row r="8" spans="1:5" ht="12.75">
      <c r="A8" s="403" t="s">
        <v>365</v>
      </c>
      <c r="B8" s="404" t="s">
        <v>331</v>
      </c>
      <c r="C8" s="404" t="s">
        <v>332</v>
      </c>
      <c r="D8" s="405" t="s">
        <v>333</v>
      </c>
      <c r="E8" s="402" t="s">
        <v>202</v>
      </c>
    </row>
    <row r="9" spans="1:5" ht="12.75">
      <c r="A9" s="485" t="s">
        <v>427</v>
      </c>
      <c r="B9" s="372">
        <f>'Data Entry'!F17</f>
        <v>0</v>
      </c>
      <c r="C9" s="372">
        <f>'Data Entry'!I17</f>
        <v>0</v>
      </c>
      <c r="D9" s="372">
        <f>'Data Entry'!L17</f>
        <v>110</v>
      </c>
      <c r="E9" s="401">
        <f>SUM(B9:D9)</f>
        <v>110</v>
      </c>
    </row>
    <row r="12" ht="11.25" customHeight="1"/>
    <row r="13" spans="1:7" ht="42" customHeight="1">
      <c r="A13" s="381" t="s">
        <v>367</v>
      </c>
      <c r="C13" s="331" t="s">
        <v>366</v>
      </c>
      <c r="E13" s="374" t="s">
        <v>334</v>
      </c>
      <c r="G13" s="374" t="s">
        <v>368</v>
      </c>
    </row>
    <row r="14" spans="1:7" ht="12.75">
      <c r="A14" s="386" t="s">
        <v>331</v>
      </c>
      <c r="C14" s="372">
        <f>B9</f>
        <v>0</v>
      </c>
      <c r="D14" s="371" t="s">
        <v>341</v>
      </c>
      <c r="E14" s="375">
        <v>1.45</v>
      </c>
      <c r="F14" s="371" t="s">
        <v>339</v>
      </c>
      <c r="G14" s="372">
        <f>C14*E14</f>
        <v>0</v>
      </c>
    </row>
    <row r="15" spans="1:7" ht="12.75">
      <c r="A15" s="297" t="s">
        <v>332</v>
      </c>
      <c r="C15" s="372">
        <f>C9</f>
        <v>0</v>
      </c>
      <c r="D15" s="371" t="s">
        <v>341</v>
      </c>
      <c r="E15" s="375">
        <f>IF('Data Entry'!I20&gt;0,IF('Data Entry'!I20&lt;100,Calculations!L9,IF('Data Entry'!I20&lt;500,Calculations!L17,IF('Data Entry'!I20&lt;600,Calculations!L25,Calculations!L27))),0)</f>
        <v>0</v>
      </c>
      <c r="F15" s="371" t="s">
        <v>339</v>
      </c>
      <c r="G15" s="372">
        <f>C15*E15</f>
        <v>0</v>
      </c>
    </row>
    <row r="16" spans="1:7" ht="12.75">
      <c r="A16" s="390" t="s">
        <v>333</v>
      </c>
      <c r="C16" s="376">
        <f>D9</f>
        <v>110</v>
      </c>
      <c r="D16" s="371" t="s">
        <v>341</v>
      </c>
      <c r="E16" s="375">
        <f>IF('Data Entry'!L20&gt;0,IF('Data Entry'!L20&lt;100,Calculations!N9,IF('Data Entry'!L20&lt;500,Calculations!N17,IF('Data Entry'!L20&lt;600,Calculations!N25,Calculations!N27))),0)</f>
        <v>1.268</v>
      </c>
      <c r="F16" s="371" t="s">
        <v>339</v>
      </c>
      <c r="G16" s="376">
        <f>C16*E16</f>
        <v>139.48</v>
      </c>
    </row>
    <row r="17" spans="1:7" ht="12.75">
      <c r="A17" s="389" t="s">
        <v>369</v>
      </c>
      <c r="C17" s="377">
        <f>SUM(C14:C16)</f>
        <v>110</v>
      </c>
      <c r="G17" s="377">
        <f>SUM(G14:G16)</f>
        <v>139.48</v>
      </c>
    </row>
    <row r="18" ht="17.25" customHeight="1"/>
    <row r="19" ht="11.25" customHeight="1"/>
    <row r="21" spans="1:7" ht="42" customHeight="1">
      <c r="A21" s="378" t="s">
        <v>425</v>
      </c>
      <c r="C21" s="374" t="s">
        <v>432</v>
      </c>
      <c r="E21" s="374" t="s">
        <v>334</v>
      </c>
      <c r="G21" s="374" t="s">
        <v>434</v>
      </c>
    </row>
    <row r="22" spans="1:7" ht="12.75">
      <c r="A22" s="297" t="s">
        <v>349</v>
      </c>
      <c r="C22" s="379">
        <f>'Data Entry'!I38</f>
        <v>0</v>
      </c>
      <c r="D22" s="371" t="s">
        <v>341</v>
      </c>
      <c r="E22" s="375">
        <v>0.04</v>
      </c>
      <c r="F22" s="371" t="s">
        <v>339</v>
      </c>
      <c r="G22" s="379">
        <f>C22*E22</f>
        <v>0</v>
      </c>
    </row>
    <row r="23" spans="1:7" ht="12.75">
      <c r="A23" s="297" t="s">
        <v>350</v>
      </c>
      <c r="C23" s="379">
        <f>'Data Entry'!I39</f>
        <v>0</v>
      </c>
      <c r="D23" s="371" t="s">
        <v>341</v>
      </c>
      <c r="E23" s="375">
        <v>0.06</v>
      </c>
      <c r="F23" s="371" t="s">
        <v>339</v>
      </c>
      <c r="G23" s="379">
        <f aca="true" t="shared" si="0" ref="G23:G35">C23*E23</f>
        <v>0</v>
      </c>
    </row>
    <row r="24" spans="1:7" ht="12.75">
      <c r="A24" s="297" t="s">
        <v>370</v>
      </c>
      <c r="C24" s="379">
        <f>'Data Entry'!I40</f>
        <v>0.25</v>
      </c>
      <c r="D24" s="371" t="s">
        <v>341</v>
      </c>
      <c r="E24" s="375">
        <v>0.115</v>
      </c>
      <c r="F24" s="371" t="s">
        <v>339</v>
      </c>
      <c r="G24" s="379">
        <f t="shared" si="0"/>
        <v>0.029</v>
      </c>
    </row>
    <row r="25" spans="1:7" ht="12.75">
      <c r="A25" s="297" t="s">
        <v>371</v>
      </c>
      <c r="C25" s="379">
        <f>'Data Entry'!I41</f>
        <v>0</v>
      </c>
      <c r="D25" s="371" t="s">
        <v>341</v>
      </c>
      <c r="E25" s="375">
        <v>4.771</v>
      </c>
      <c r="F25" s="371" t="s">
        <v>339</v>
      </c>
      <c r="G25" s="379">
        <f t="shared" si="0"/>
        <v>0</v>
      </c>
    </row>
    <row r="26" spans="1:7" ht="12.75">
      <c r="A26" s="297" t="s">
        <v>372</v>
      </c>
      <c r="C26" s="379">
        <f>'Data Entry'!I42</f>
        <v>0</v>
      </c>
      <c r="D26" s="371" t="s">
        <v>341</v>
      </c>
      <c r="E26" s="375">
        <v>6.024</v>
      </c>
      <c r="F26" s="371" t="s">
        <v>339</v>
      </c>
      <c r="G26" s="379">
        <f t="shared" si="0"/>
        <v>0</v>
      </c>
    </row>
    <row r="27" spans="1:7" ht="12.75">
      <c r="A27" s="297" t="s">
        <v>373</v>
      </c>
      <c r="C27" s="379">
        <f>'Data Entry'!I43</f>
        <v>0</v>
      </c>
      <c r="D27" s="371" t="s">
        <v>341</v>
      </c>
      <c r="E27" s="375">
        <v>5.833</v>
      </c>
      <c r="F27" s="371" t="s">
        <v>339</v>
      </c>
      <c r="G27" s="379">
        <f t="shared" si="0"/>
        <v>0</v>
      </c>
    </row>
    <row r="28" spans="1:7" ht="12.75">
      <c r="A28" s="297" t="s">
        <v>420</v>
      </c>
      <c r="C28" s="379">
        <f>'Data Entry'!I44</f>
        <v>0</v>
      </c>
      <c r="D28" s="371" t="s">
        <v>341</v>
      </c>
      <c r="E28" s="375">
        <v>7.947</v>
      </c>
      <c r="F28" s="371" t="s">
        <v>339</v>
      </c>
      <c r="G28" s="379">
        <f t="shared" si="0"/>
        <v>0</v>
      </c>
    </row>
    <row r="29" spans="1:7" ht="12.75">
      <c r="A29" s="297" t="s">
        <v>421</v>
      </c>
      <c r="C29" s="379">
        <f>'Data Entry'!I45</f>
        <v>0</v>
      </c>
      <c r="D29" s="371" t="s">
        <v>341</v>
      </c>
      <c r="E29" s="375">
        <v>3.158</v>
      </c>
      <c r="F29" s="371" t="s">
        <v>339</v>
      </c>
      <c r="G29" s="379">
        <f t="shared" si="0"/>
        <v>0</v>
      </c>
    </row>
    <row r="30" spans="1:7" ht="12.75">
      <c r="A30" s="297" t="s">
        <v>422</v>
      </c>
      <c r="C30" s="379">
        <f>'Data Entry'!I46</f>
        <v>0</v>
      </c>
      <c r="D30" s="371" t="s">
        <v>341</v>
      </c>
      <c r="E30" s="375">
        <v>6.773</v>
      </c>
      <c r="F30" s="371" t="s">
        <v>339</v>
      </c>
      <c r="G30" s="379">
        <f t="shared" si="0"/>
        <v>0</v>
      </c>
    </row>
    <row r="31" spans="1:7" ht="12.75">
      <c r="A31" s="297" t="s">
        <v>374</v>
      </c>
      <c r="C31" s="379">
        <f>'Data Entry'!I47</f>
        <v>0</v>
      </c>
      <c r="D31" s="371" t="s">
        <v>341</v>
      </c>
      <c r="E31" s="375">
        <v>3.595</v>
      </c>
      <c r="F31" s="371" t="s">
        <v>339</v>
      </c>
      <c r="G31" s="379">
        <f t="shared" si="0"/>
        <v>0</v>
      </c>
    </row>
    <row r="32" spans="1:7" ht="12.75">
      <c r="A32" s="297" t="s">
        <v>377</v>
      </c>
      <c r="C32" s="379">
        <f>'Data Entry'!I48</f>
        <v>4.06</v>
      </c>
      <c r="D32" s="371" t="s">
        <v>341</v>
      </c>
      <c r="E32" s="375">
        <v>0.003</v>
      </c>
      <c r="F32" s="371" t="s">
        <v>339</v>
      </c>
      <c r="G32" s="379">
        <f t="shared" si="0"/>
        <v>0.012</v>
      </c>
    </row>
    <row r="33" spans="1:7" ht="12.75">
      <c r="A33" s="297" t="s">
        <v>423</v>
      </c>
      <c r="C33" s="379">
        <f>'Data Entry'!I49</f>
        <v>0</v>
      </c>
      <c r="D33" s="371" t="s">
        <v>341</v>
      </c>
      <c r="E33" s="375">
        <v>4.822</v>
      </c>
      <c r="F33" s="371" t="s">
        <v>339</v>
      </c>
      <c r="G33" s="379">
        <f t="shared" si="0"/>
        <v>0</v>
      </c>
    </row>
    <row r="34" spans="1:7" ht="12.75">
      <c r="A34" s="297" t="s">
        <v>375</v>
      </c>
      <c r="C34" s="379">
        <f>'Data Entry'!I50</f>
        <v>0</v>
      </c>
      <c r="D34" s="371" t="s">
        <v>341</v>
      </c>
      <c r="E34" s="375">
        <v>4.421</v>
      </c>
      <c r="F34" s="371" t="s">
        <v>339</v>
      </c>
      <c r="G34" s="379">
        <f t="shared" si="0"/>
        <v>0</v>
      </c>
    </row>
    <row r="35" spans="1:7" ht="12.75">
      <c r="A35" s="297" t="s">
        <v>376</v>
      </c>
      <c r="C35" s="379">
        <f>'Data Entry'!I51</f>
        <v>0</v>
      </c>
      <c r="D35" s="371" t="s">
        <v>341</v>
      </c>
      <c r="E35" s="375">
        <v>4.806</v>
      </c>
      <c r="F35" s="371" t="s">
        <v>339</v>
      </c>
      <c r="G35" s="395">
        <f t="shared" si="0"/>
        <v>0</v>
      </c>
    </row>
    <row r="36" spans="1:7" ht="12.75">
      <c r="A36" s="313" t="s">
        <v>424</v>
      </c>
      <c r="G36" s="396">
        <f>SUM(G22:G35)</f>
        <v>0.041</v>
      </c>
    </row>
    <row r="37" ht="12.75">
      <c r="A37" s="380"/>
    </row>
    <row r="39" spans="1:10" ht="12.75">
      <c r="A39" s="689" t="s">
        <v>418</v>
      </c>
      <c r="B39" s="689"/>
      <c r="C39" s="689"/>
      <c r="D39" s="689"/>
      <c r="E39" s="689"/>
      <c r="F39" s="689"/>
      <c r="G39" s="689"/>
      <c r="H39" s="689"/>
      <c r="I39" s="689"/>
      <c r="J39" s="689"/>
    </row>
    <row r="40" spans="1:10" ht="12.75">
      <c r="A40" s="689" t="s">
        <v>402</v>
      </c>
      <c r="B40" s="689"/>
      <c r="C40" s="689"/>
      <c r="D40" s="689"/>
      <c r="E40" s="689"/>
      <c r="F40" s="689"/>
      <c r="G40" s="689"/>
      <c r="H40" s="689"/>
      <c r="I40" s="689"/>
      <c r="J40" s="689"/>
    </row>
    <row r="41" spans="1:10" ht="12.75">
      <c r="A41" s="689" t="s">
        <v>419</v>
      </c>
      <c r="B41" s="689"/>
      <c r="C41" s="689"/>
      <c r="D41" s="689"/>
      <c r="E41" s="689"/>
      <c r="F41" s="689"/>
      <c r="G41" s="689"/>
      <c r="H41" s="689"/>
      <c r="I41" s="689"/>
      <c r="J41" s="689"/>
    </row>
    <row r="42" ht="12.75">
      <c r="J42" s="313" t="s">
        <v>480</v>
      </c>
    </row>
    <row r="44" spans="1:4" ht="12.75">
      <c r="A44" s="403" t="s">
        <v>403</v>
      </c>
      <c r="B44" s="404" t="s">
        <v>332</v>
      </c>
      <c r="C44" s="405" t="s">
        <v>333</v>
      </c>
      <c r="D44" s="404" t="s">
        <v>202</v>
      </c>
    </row>
    <row r="45" spans="1:4" ht="12.75">
      <c r="A45" s="393" t="s">
        <v>427</v>
      </c>
      <c r="B45" s="372">
        <f>'Data Entry'!I18</f>
        <v>0</v>
      </c>
      <c r="C45" s="372">
        <f>'Data Entry'!L18</f>
        <v>462</v>
      </c>
      <c r="D45" s="372">
        <f>SUM(B45:C45)</f>
        <v>462</v>
      </c>
    </row>
    <row r="48" ht="11.25" customHeight="1"/>
    <row r="49" spans="1:7" ht="42" customHeight="1">
      <c r="A49" s="381" t="s">
        <v>367</v>
      </c>
      <c r="C49" s="331" t="s">
        <v>366</v>
      </c>
      <c r="E49" s="374" t="s">
        <v>334</v>
      </c>
      <c r="G49" s="374" t="s">
        <v>368</v>
      </c>
    </row>
    <row r="50" spans="1:7" ht="12.75">
      <c r="A50" s="297" t="s">
        <v>332</v>
      </c>
      <c r="C50" s="372">
        <f>B45</f>
        <v>0</v>
      </c>
      <c r="D50" s="371" t="s">
        <v>341</v>
      </c>
      <c r="E50" s="375">
        <f>IF('Data Entry'!I20&gt;0,IF('Data Entry'!I20&lt;100,Calculations!L9,IF('Data Entry'!I20&lt;500,Calculations!L17,IF('Data Entry'!I20&lt;600,Calculations!L25,Calculations!L27))),0)</f>
        <v>0</v>
      </c>
      <c r="F50" s="371" t="s">
        <v>339</v>
      </c>
      <c r="G50" s="372">
        <f>C50*E50</f>
        <v>0</v>
      </c>
    </row>
    <row r="51" spans="1:7" ht="12.75">
      <c r="A51" s="391" t="s">
        <v>333</v>
      </c>
      <c r="C51" s="376">
        <f>C45</f>
        <v>462</v>
      </c>
      <c r="D51" s="371" t="s">
        <v>341</v>
      </c>
      <c r="E51" s="375">
        <f>IF('Data Entry'!L20&gt;0,IF('Data Entry'!L20&lt;100,Calculations!N9,IF('Data Entry'!L20&lt;500,Calculations!N17,IF('Data Entry'!L20&lt;600,Calculations!N25,Calculations!N27))),0)</f>
        <v>1.268</v>
      </c>
      <c r="F51" s="371" t="s">
        <v>339</v>
      </c>
      <c r="G51" s="376">
        <f>C51*E51</f>
        <v>585.816</v>
      </c>
    </row>
    <row r="52" spans="1:7" ht="12.75">
      <c r="A52" s="389" t="s">
        <v>369</v>
      </c>
      <c r="C52" s="377">
        <f>SUM(C50:C51)</f>
        <v>462</v>
      </c>
      <c r="G52" s="377">
        <f>SUM(G50:G51)</f>
        <v>585.816</v>
      </c>
    </row>
    <row r="56" spans="1:7" ht="42" customHeight="1">
      <c r="A56" s="378" t="s">
        <v>425</v>
      </c>
      <c r="C56" s="374" t="s">
        <v>433</v>
      </c>
      <c r="E56" s="374" t="s">
        <v>334</v>
      </c>
      <c r="G56" s="374" t="s">
        <v>434</v>
      </c>
    </row>
    <row r="57" spans="1:7" ht="12.75">
      <c r="A57" s="297" t="s">
        <v>349</v>
      </c>
      <c r="C57" s="379">
        <f>'Data Entry'!J38</f>
        <v>0</v>
      </c>
      <c r="D57" s="371" t="s">
        <v>341</v>
      </c>
      <c r="E57" s="375">
        <v>0.04</v>
      </c>
      <c r="F57" s="371" t="s">
        <v>339</v>
      </c>
      <c r="G57" s="379">
        <f>C57*E57</f>
        <v>0</v>
      </c>
    </row>
    <row r="58" spans="1:7" ht="12.75">
      <c r="A58" s="297" t="s">
        <v>350</v>
      </c>
      <c r="C58" s="379">
        <f>'Data Entry'!J39</f>
        <v>0</v>
      </c>
      <c r="D58" s="371" t="s">
        <v>341</v>
      </c>
      <c r="E58" s="375">
        <v>0.06</v>
      </c>
      <c r="F58" s="371" t="s">
        <v>339</v>
      </c>
      <c r="G58" s="379">
        <f aca="true" t="shared" si="1" ref="G58:G69">C58*E58</f>
        <v>0</v>
      </c>
    </row>
    <row r="59" spans="1:7" ht="12.75">
      <c r="A59" s="297" t="s">
        <v>370</v>
      </c>
      <c r="C59" s="379">
        <f>'Data Entry'!J40</f>
        <v>0</v>
      </c>
      <c r="D59" s="371" t="s">
        <v>341</v>
      </c>
      <c r="E59" s="375">
        <v>0.115</v>
      </c>
      <c r="F59" s="371" t="s">
        <v>339</v>
      </c>
      <c r="G59" s="379">
        <f t="shared" si="1"/>
        <v>0</v>
      </c>
    </row>
    <row r="60" spans="1:7" ht="12.75">
      <c r="A60" s="297" t="s">
        <v>371</v>
      </c>
      <c r="C60" s="379">
        <f>'Data Entry'!J41</f>
        <v>0</v>
      </c>
      <c r="D60" s="371" t="s">
        <v>341</v>
      </c>
      <c r="E60" s="375">
        <v>4.771</v>
      </c>
      <c r="F60" s="371" t="s">
        <v>339</v>
      </c>
      <c r="G60" s="379">
        <f t="shared" si="1"/>
        <v>0</v>
      </c>
    </row>
    <row r="61" spans="1:7" ht="12.75">
      <c r="A61" s="297" t="s">
        <v>372</v>
      </c>
      <c r="C61" s="379">
        <f>'Data Entry'!J42</f>
        <v>0.075</v>
      </c>
      <c r="D61" s="371" t="s">
        <v>341</v>
      </c>
      <c r="E61" s="375">
        <v>6.024</v>
      </c>
      <c r="F61" s="371" t="s">
        <v>339</v>
      </c>
      <c r="G61" s="379">
        <f t="shared" si="1"/>
        <v>0.452</v>
      </c>
    </row>
    <row r="62" spans="1:7" ht="12.75">
      <c r="A62" s="297" t="s">
        <v>373</v>
      </c>
      <c r="C62" s="379">
        <f>'Data Entry'!J43</f>
        <v>0</v>
      </c>
      <c r="D62" s="371" t="s">
        <v>341</v>
      </c>
      <c r="E62" s="375">
        <v>5.833</v>
      </c>
      <c r="F62" s="371" t="s">
        <v>339</v>
      </c>
      <c r="G62" s="379">
        <f t="shared" si="1"/>
        <v>0</v>
      </c>
    </row>
    <row r="63" spans="1:7" ht="12.75">
      <c r="A63" s="297" t="s">
        <v>420</v>
      </c>
      <c r="C63" s="379">
        <f>'Data Entry'!J44</f>
        <v>0</v>
      </c>
      <c r="D63" s="371" t="s">
        <v>341</v>
      </c>
      <c r="E63" s="375">
        <v>7.947</v>
      </c>
      <c r="F63" s="371" t="s">
        <v>339</v>
      </c>
      <c r="G63" s="379">
        <f t="shared" si="1"/>
        <v>0</v>
      </c>
    </row>
    <row r="64" spans="1:7" ht="12.75">
      <c r="A64" s="297" t="s">
        <v>421</v>
      </c>
      <c r="C64" s="379">
        <f>'Data Entry'!J45</f>
        <v>0</v>
      </c>
      <c r="D64" s="371" t="s">
        <v>341</v>
      </c>
      <c r="E64" s="375">
        <v>3.158</v>
      </c>
      <c r="F64" s="371" t="s">
        <v>339</v>
      </c>
      <c r="G64" s="379">
        <f t="shared" si="1"/>
        <v>0</v>
      </c>
    </row>
    <row r="65" spans="1:7" ht="12.75">
      <c r="A65" s="297" t="s">
        <v>422</v>
      </c>
      <c r="C65" s="379">
        <f>'Data Entry'!J46</f>
        <v>0</v>
      </c>
      <c r="D65" s="371" t="s">
        <v>341</v>
      </c>
      <c r="E65" s="375">
        <v>6.773</v>
      </c>
      <c r="F65" s="371" t="s">
        <v>339</v>
      </c>
      <c r="G65" s="379">
        <f t="shared" si="1"/>
        <v>0</v>
      </c>
    </row>
    <row r="66" spans="1:7" ht="12.75">
      <c r="A66" s="297" t="s">
        <v>377</v>
      </c>
      <c r="C66" s="379">
        <f>'Data Entry'!J48</f>
        <v>36.718</v>
      </c>
      <c r="D66" s="371" t="s">
        <v>341</v>
      </c>
      <c r="E66" s="375">
        <v>0.003</v>
      </c>
      <c r="F66" s="371" t="s">
        <v>339</v>
      </c>
      <c r="G66" s="379">
        <f t="shared" si="1"/>
        <v>0.11</v>
      </c>
    </row>
    <row r="67" spans="1:7" ht="12.75">
      <c r="A67" s="297" t="s">
        <v>423</v>
      </c>
      <c r="C67" s="379">
        <f>'Data Entry'!J49</f>
        <v>0</v>
      </c>
      <c r="D67" s="371" t="s">
        <v>341</v>
      </c>
      <c r="E67" s="375">
        <v>4.822</v>
      </c>
      <c r="F67" s="371" t="s">
        <v>339</v>
      </c>
      <c r="G67" s="379">
        <f t="shared" si="1"/>
        <v>0</v>
      </c>
    </row>
    <row r="68" spans="1:7" ht="12.75">
      <c r="A68" s="297" t="s">
        <v>375</v>
      </c>
      <c r="C68" s="379">
        <f>'Data Entry'!J50</f>
        <v>0</v>
      </c>
      <c r="D68" s="371" t="s">
        <v>341</v>
      </c>
      <c r="E68" s="375">
        <v>4.421</v>
      </c>
      <c r="F68" s="371" t="s">
        <v>339</v>
      </c>
      <c r="G68" s="379">
        <f t="shared" si="1"/>
        <v>0</v>
      </c>
    </row>
    <row r="69" spans="1:7" ht="12.75">
      <c r="A69" s="297" t="s">
        <v>376</v>
      </c>
      <c r="C69" s="379">
        <f>'Data Entry'!J51</f>
        <v>0</v>
      </c>
      <c r="D69" s="371" t="s">
        <v>341</v>
      </c>
      <c r="E69" s="375">
        <v>4.806</v>
      </c>
      <c r="F69" s="371" t="s">
        <v>339</v>
      </c>
      <c r="G69" s="395">
        <f t="shared" si="1"/>
        <v>0</v>
      </c>
    </row>
    <row r="70" spans="1:7" ht="12.75">
      <c r="A70" s="313" t="s">
        <v>424</v>
      </c>
      <c r="G70" s="396">
        <f>SUM(G57:G69)</f>
        <v>0.562</v>
      </c>
    </row>
    <row r="71" ht="12.75">
      <c r="A71" s="380"/>
    </row>
    <row r="73" spans="1:10" ht="12.75">
      <c r="A73" s="689" t="s">
        <v>418</v>
      </c>
      <c r="B73" s="689"/>
      <c r="C73" s="689"/>
      <c r="D73" s="689"/>
      <c r="E73" s="689"/>
      <c r="F73" s="689"/>
      <c r="G73" s="689"/>
      <c r="H73" s="689"/>
      <c r="I73" s="689"/>
      <c r="J73" s="689"/>
    </row>
    <row r="74" spans="1:10" ht="12.75">
      <c r="A74" s="689" t="s">
        <v>402</v>
      </c>
      <c r="B74" s="689"/>
      <c r="C74" s="689"/>
      <c r="D74" s="689"/>
      <c r="E74" s="689"/>
      <c r="F74" s="689"/>
      <c r="G74" s="689"/>
      <c r="H74" s="689"/>
      <c r="I74" s="689"/>
      <c r="J74" s="689"/>
    </row>
    <row r="75" spans="1:10" ht="12.75">
      <c r="A75" s="689" t="s">
        <v>419</v>
      </c>
      <c r="B75" s="689"/>
      <c r="C75" s="689"/>
      <c r="D75" s="689"/>
      <c r="E75" s="689"/>
      <c r="F75" s="689"/>
      <c r="G75" s="689"/>
      <c r="H75" s="689"/>
      <c r="I75" s="689"/>
      <c r="J75" s="689"/>
    </row>
    <row r="76" ht="12.75">
      <c r="J76" s="313" t="s">
        <v>482</v>
      </c>
    </row>
    <row r="78" spans="1:4" ht="12.75">
      <c r="A78" s="403" t="s">
        <v>404</v>
      </c>
      <c r="B78" s="404" t="s">
        <v>332</v>
      </c>
      <c r="C78" s="405" t="s">
        <v>333</v>
      </c>
      <c r="D78" s="404" t="s">
        <v>202</v>
      </c>
    </row>
    <row r="79" spans="1:4" ht="12.75">
      <c r="A79" s="393" t="s">
        <v>426</v>
      </c>
      <c r="B79" s="372">
        <f>'Data Entry'!I19</f>
        <v>0</v>
      </c>
      <c r="C79" s="372">
        <f>'Data Entry'!L19</f>
        <v>38</v>
      </c>
      <c r="D79" s="372">
        <f>SUM(B79:C79)</f>
        <v>38</v>
      </c>
    </row>
    <row r="82" ht="11.25" customHeight="1"/>
    <row r="83" spans="1:7" ht="42" customHeight="1">
      <c r="A83" s="381" t="s">
        <v>367</v>
      </c>
      <c r="C83" s="331" t="s">
        <v>366</v>
      </c>
      <c r="E83" s="374" t="s">
        <v>334</v>
      </c>
      <c r="G83" s="374" t="s">
        <v>368</v>
      </c>
    </row>
    <row r="84" spans="1:7" ht="12.75">
      <c r="A84" s="297" t="s">
        <v>332</v>
      </c>
      <c r="C84" s="372">
        <f>B79</f>
        <v>0</v>
      </c>
      <c r="D84" s="371" t="s">
        <v>341</v>
      </c>
      <c r="E84" s="375">
        <f>IF('Data Entry'!I20&gt;0,IF('Data Entry'!I20&lt;100,Calculations!L9,IF('Data Entry'!I20&lt;500,Calculations!L17,IF('Data Entry'!I20&lt;600,Calculations!L25,Calculations!L27))),0)</f>
        <v>0</v>
      </c>
      <c r="F84" s="371" t="s">
        <v>339</v>
      </c>
      <c r="G84" s="372">
        <f>C84*E84</f>
        <v>0</v>
      </c>
    </row>
    <row r="85" spans="1:7" ht="12.75">
      <c r="A85" s="391" t="s">
        <v>333</v>
      </c>
      <c r="C85" s="376">
        <f>C79</f>
        <v>38</v>
      </c>
      <c r="D85" s="371" t="s">
        <v>341</v>
      </c>
      <c r="E85" s="375">
        <f>IF('Data Entry'!L20&gt;0,IF('Data Entry'!L20&lt;100,Calculations!N9,IF('Data Entry'!L20&lt;500,Calculations!N17,IF('Data Entry'!L20&lt;600,Calculations!N25,Calculations!N27))),0)</f>
        <v>1.268</v>
      </c>
      <c r="F85" s="371" t="s">
        <v>339</v>
      </c>
      <c r="G85" s="376">
        <f>C85*E85</f>
        <v>48.184</v>
      </c>
    </row>
    <row r="86" spans="1:7" ht="12.75">
      <c r="A86" s="389" t="s">
        <v>369</v>
      </c>
      <c r="C86" s="377">
        <f>SUM(C84:C85)</f>
        <v>38</v>
      </c>
      <c r="G86" s="377">
        <f>SUM(G84:G85)</f>
        <v>48.184</v>
      </c>
    </row>
    <row r="90" spans="1:7" ht="42" customHeight="1">
      <c r="A90" s="378" t="s">
        <v>429</v>
      </c>
      <c r="C90" s="374" t="s">
        <v>433</v>
      </c>
      <c r="E90" s="374" t="s">
        <v>334</v>
      </c>
      <c r="G90" s="374" t="s">
        <v>434</v>
      </c>
    </row>
    <row r="91" spans="1:7" ht="12.75">
      <c r="A91" s="297" t="s">
        <v>349</v>
      </c>
      <c r="C91" s="379">
        <f>'Data Entry'!K38</f>
        <v>0</v>
      </c>
      <c r="D91" s="371" t="s">
        <v>341</v>
      </c>
      <c r="E91" s="375">
        <v>0.04</v>
      </c>
      <c r="F91" s="371" t="s">
        <v>339</v>
      </c>
      <c r="G91" s="379">
        <f>C91*E91</f>
        <v>0</v>
      </c>
    </row>
    <row r="92" spans="1:7" ht="12.75">
      <c r="A92" s="297" t="s">
        <v>350</v>
      </c>
      <c r="C92" s="379">
        <f>'Data Entry'!K39</f>
        <v>0</v>
      </c>
      <c r="D92" s="371" t="s">
        <v>341</v>
      </c>
      <c r="E92" s="375">
        <v>0.06</v>
      </c>
      <c r="F92" s="371" t="s">
        <v>339</v>
      </c>
      <c r="G92" s="379">
        <f aca="true" t="shared" si="2" ref="G92:G103">C92*E92</f>
        <v>0</v>
      </c>
    </row>
    <row r="93" spans="1:7" ht="12.75">
      <c r="A93" s="297" t="s">
        <v>370</v>
      </c>
      <c r="C93" s="379">
        <f>'Data Entry'!K40</f>
        <v>0</v>
      </c>
      <c r="D93" s="371" t="s">
        <v>341</v>
      </c>
      <c r="E93" s="375">
        <v>0.115</v>
      </c>
      <c r="F93" s="371" t="s">
        <v>339</v>
      </c>
      <c r="G93" s="379">
        <f t="shared" si="2"/>
        <v>0</v>
      </c>
    </row>
    <row r="94" spans="1:7" ht="12.75">
      <c r="A94" s="297" t="s">
        <v>371</v>
      </c>
      <c r="C94" s="379">
        <f>'Data Entry'!K41</f>
        <v>0</v>
      </c>
      <c r="D94" s="371" t="s">
        <v>341</v>
      </c>
      <c r="E94" s="375">
        <v>4.771</v>
      </c>
      <c r="F94" s="371" t="s">
        <v>339</v>
      </c>
      <c r="G94" s="379">
        <f t="shared" si="2"/>
        <v>0</v>
      </c>
    </row>
    <row r="95" spans="1:7" ht="12.75">
      <c r="A95" s="297" t="s">
        <v>372</v>
      </c>
      <c r="C95" s="379">
        <f>'Data Entry'!K42</f>
        <v>0</v>
      </c>
      <c r="D95" s="371" t="s">
        <v>341</v>
      </c>
      <c r="E95" s="375">
        <v>6.024</v>
      </c>
      <c r="F95" s="371" t="s">
        <v>339</v>
      </c>
      <c r="G95" s="379">
        <f t="shared" si="2"/>
        <v>0</v>
      </c>
    </row>
    <row r="96" spans="1:7" ht="12.75">
      <c r="A96" s="297" t="s">
        <v>373</v>
      </c>
      <c r="C96" s="379">
        <f>'Data Entry'!K43</f>
        <v>0</v>
      </c>
      <c r="D96" s="371" t="s">
        <v>341</v>
      </c>
      <c r="E96" s="375">
        <v>5.833</v>
      </c>
      <c r="F96" s="371" t="s">
        <v>339</v>
      </c>
      <c r="G96" s="379">
        <f t="shared" si="2"/>
        <v>0</v>
      </c>
    </row>
    <row r="97" spans="1:7" ht="12.75">
      <c r="A97" s="297" t="s">
        <v>420</v>
      </c>
      <c r="C97" s="379">
        <f>'Data Entry'!K44</f>
        <v>0</v>
      </c>
      <c r="D97" s="371" t="s">
        <v>341</v>
      </c>
      <c r="E97" s="375">
        <v>7.947</v>
      </c>
      <c r="F97" s="371" t="s">
        <v>339</v>
      </c>
      <c r="G97" s="379">
        <f t="shared" si="2"/>
        <v>0</v>
      </c>
    </row>
    <row r="98" spans="1:7" ht="12.75">
      <c r="A98" s="297" t="s">
        <v>421</v>
      </c>
      <c r="C98" s="379">
        <f>'Data Entry'!K45</f>
        <v>0</v>
      </c>
      <c r="D98" s="371" t="s">
        <v>341</v>
      </c>
      <c r="E98" s="375">
        <v>3.158</v>
      </c>
      <c r="F98" s="371" t="s">
        <v>339</v>
      </c>
      <c r="G98" s="379">
        <f t="shared" si="2"/>
        <v>0</v>
      </c>
    </row>
    <row r="99" spans="1:7" ht="12.75">
      <c r="A99" s="297" t="s">
        <v>422</v>
      </c>
      <c r="C99" s="379">
        <f>'Data Entry'!K46</f>
        <v>0</v>
      </c>
      <c r="D99" s="371" t="s">
        <v>341</v>
      </c>
      <c r="E99" s="375">
        <v>6.773</v>
      </c>
      <c r="F99" s="371" t="s">
        <v>339</v>
      </c>
      <c r="G99" s="379">
        <f t="shared" si="2"/>
        <v>0</v>
      </c>
    </row>
    <row r="100" spans="1:7" ht="12.75">
      <c r="A100" s="297" t="s">
        <v>377</v>
      </c>
      <c r="C100" s="379">
        <f>'Data Entry'!K48</f>
        <v>0.5</v>
      </c>
      <c r="D100" s="371" t="s">
        <v>341</v>
      </c>
      <c r="E100" s="375">
        <v>0.003</v>
      </c>
      <c r="F100" s="371" t="s">
        <v>339</v>
      </c>
      <c r="G100" s="379">
        <f t="shared" si="2"/>
        <v>0.002</v>
      </c>
    </row>
    <row r="101" spans="1:7" ht="12.75">
      <c r="A101" s="297" t="s">
        <v>423</v>
      </c>
      <c r="C101" s="379">
        <f>'Data Entry'!K49</f>
        <v>0</v>
      </c>
      <c r="D101" s="371" t="s">
        <v>341</v>
      </c>
      <c r="E101" s="375">
        <v>4.822</v>
      </c>
      <c r="F101" s="371" t="s">
        <v>339</v>
      </c>
      <c r="G101" s="379">
        <f t="shared" si="2"/>
        <v>0</v>
      </c>
    </row>
    <row r="102" spans="1:7" ht="12.75">
      <c r="A102" s="297" t="s">
        <v>375</v>
      </c>
      <c r="C102" s="379">
        <f>'Data Entry'!K50</f>
        <v>0</v>
      </c>
      <c r="D102" s="371" t="s">
        <v>341</v>
      </c>
      <c r="E102" s="375">
        <v>4.421</v>
      </c>
      <c r="F102" s="371" t="s">
        <v>339</v>
      </c>
      <c r="G102" s="379">
        <f t="shared" si="2"/>
        <v>0</v>
      </c>
    </row>
    <row r="103" spans="1:7" ht="12.75">
      <c r="A103" s="297" t="s">
        <v>376</v>
      </c>
      <c r="C103" s="379">
        <f>'Data Entry'!K51</f>
        <v>0</v>
      </c>
      <c r="D103" s="371" t="s">
        <v>341</v>
      </c>
      <c r="E103" s="375">
        <v>4.806</v>
      </c>
      <c r="F103" s="371" t="s">
        <v>339</v>
      </c>
      <c r="G103" s="395">
        <f t="shared" si="2"/>
        <v>0</v>
      </c>
    </row>
    <row r="104" spans="1:7" ht="12.75">
      <c r="A104" s="313" t="s">
        <v>424</v>
      </c>
      <c r="G104" s="396">
        <f>SUM(G91:G103)</f>
        <v>0.002</v>
      </c>
    </row>
    <row r="105" spans="1:7" ht="12.75">
      <c r="A105" s="313"/>
      <c r="G105" s="396"/>
    </row>
    <row r="106" spans="1:7" ht="12.75">
      <c r="A106" s="313"/>
      <c r="G106" s="396"/>
    </row>
    <row r="107" spans="1:10" ht="12.75">
      <c r="A107" s="689" t="s">
        <v>418</v>
      </c>
      <c r="B107" s="689"/>
      <c r="C107" s="689"/>
      <c r="D107" s="689"/>
      <c r="E107" s="689"/>
      <c r="F107" s="689"/>
      <c r="G107" s="689"/>
      <c r="H107" s="689"/>
      <c r="I107" s="689"/>
      <c r="J107" s="689"/>
    </row>
    <row r="108" spans="1:10" ht="12.75">
      <c r="A108" s="689" t="s">
        <v>402</v>
      </c>
      <c r="B108" s="689"/>
      <c r="C108" s="689"/>
      <c r="D108" s="689"/>
      <c r="E108" s="689"/>
      <c r="F108" s="689"/>
      <c r="G108" s="689"/>
      <c r="H108" s="689"/>
      <c r="I108" s="689"/>
      <c r="J108" s="689"/>
    </row>
    <row r="109" spans="1:10" ht="12.75">
      <c r="A109" s="689" t="s">
        <v>419</v>
      </c>
      <c r="B109" s="689"/>
      <c r="C109" s="689"/>
      <c r="D109" s="689"/>
      <c r="E109" s="689"/>
      <c r="F109" s="689"/>
      <c r="G109" s="689"/>
      <c r="H109" s="689"/>
      <c r="I109" s="689"/>
      <c r="J109" s="689"/>
    </row>
    <row r="110" spans="1:10" ht="12.75">
      <c r="A110" s="316"/>
      <c r="B110" s="316"/>
      <c r="C110" s="316"/>
      <c r="D110" s="316"/>
      <c r="E110" s="316"/>
      <c r="F110" s="316"/>
      <c r="G110" s="316"/>
      <c r="H110" s="316"/>
      <c r="I110" s="316"/>
      <c r="J110" s="313" t="s">
        <v>481</v>
      </c>
    </row>
    <row r="111" spans="1:9" ht="42" customHeight="1">
      <c r="A111" s="381" t="s">
        <v>428</v>
      </c>
      <c r="C111" s="331" t="s">
        <v>430</v>
      </c>
      <c r="D111" s="394"/>
      <c r="E111" s="374" t="s">
        <v>431</v>
      </c>
      <c r="I111" s="331" t="s">
        <v>405</v>
      </c>
    </row>
    <row r="112" spans="1:9" ht="12.75">
      <c r="A112" s="297" t="s">
        <v>365</v>
      </c>
      <c r="C112" s="372">
        <f>G17</f>
        <v>139.48</v>
      </c>
      <c r="D112" s="371" t="s">
        <v>343</v>
      </c>
      <c r="E112" s="372">
        <f>G36</f>
        <v>0.041</v>
      </c>
      <c r="F112" s="371"/>
      <c r="H112" s="371" t="s">
        <v>339</v>
      </c>
      <c r="I112" s="372">
        <f>(C112+E112)</f>
        <v>139.521</v>
      </c>
    </row>
    <row r="113" spans="1:9" ht="12.75">
      <c r="A113" s="297" t="s">
        <v>403</v>
      </c>
      <c r="C113" s="372">
        <f>G52</f>
        <v>585.816</v>
      </c>
      <c r="D113" s="371" t="s">
        <v>343</v>
      </c>
      <c r="E113" s="372">
        <f>G70</f>
        <v>0.562</v>
      </c>
      <c r="F113" s="371" t="s">
        <v>341</v>
      </c>
      <c r="G113" s="297">
        <v>0.95</v>
      </c>
      <c r="H113" s="371" t="s">
        <v>339</v>
      </c>
      <c r="I113" s="372">
        <f>(C113+E113)*0.95</f>
        <v>557.059</v>
      </c>
    </row>
    <row r="114" spans="1:9" ht="12.75">
      <c r="A114" s="297" t="s">
        <v>404</v>
      </c>
      <c r="C114" s="372">
        <f>G86</f>
        <v>48.184</v>
      </c>
      <c r="D114" s="371" t="s">
        <v>343</v>
      </c>
      <c r="E114" s="372">
        <f>G104</f>
        <v>0.002</v>
      </c>
      <c r="F114" s="371" t="s">
        <v>341</v>
      </c>
      <c r="G114" s="297">
        <v>0.85</v>
      </c>
      <c r="H114" s="371" t="s">
        <v>339</v>
      </c>
      <c r="I114" s="376">
        <f>(C114+E114)*0.85</f>
        <v>40.958</v>
      </c>
    </row>
    <row r="115" spans="5:9" ht="12.75">
      <c r="E115" s="386"/>
      <c r="I115" s="377">
        <f>SUM(I112:I114)</f>
        <v>737.538</v>
      </c>
    </row>
    <row r="117" spans="1:7" ht="12.75">
      <c r="A117" s="381" t="s">
        <v>406</v>
      </c>
      <c r="E117" s="381" t="s">
        <v>380</v>
      </c>
      <c r="F117" s="373"/>
      <c r="G117" s="373"/>
    </row>
    <row r="118" spans="1:9" ht="12.75">
      <c r="A118" s="297" t="s">
        <v>360</v>
      </c>
      <c r="C118" s="372">
        <f>I115</f>
        <v>737.538</v>
      </c>
      <c r="E118" s="297" t="s">
        <v>381</v>
      </c>
      <c r="H118" s="385">
        <f>'Data Entry'!N68</f>
        <v>15000</v>
      </c>
      <c r="I118" s="385"/>
    </row>
    <row r="119" spans="1:8" ht="12.75">
      <c r="A119" s="297" t="s">
        <v>379</v>
      </c>
      <c r="C119" s="440">
        <f>Calculations!L70</f>
        <v>4150.43</v>
      </c>
      <c r="H119" s="373"/>
    </row>
    <row r="120" spans="1:8" ht="12.75">
      <c r="A120" s="297" t="s">
        <v>378</v>
      </c>
      <c r="C120" s="388">
        <f>C118*C119</f>
        <v>3061099.84</v>
      </c>
      <c r="H120" s="388">
        <f>H118</f>
        <v>15000</v>
      </c>
    </row>
    <row r="121" spans="3:8" ht="12.75">
      <c r="C121" s="388"/>
      <c r="H121" s="388"/>
    </row>
    <row r="122" spans="1:3" ht="12.75">
      <c r="A122" s="297" t="s">
        <v>380</v>
      </c>
      <c r="C122" s="387">
        <f>H120</f>
        <v>15000</v>
      </c>
    </row>
    <row r="123" spans="1:3" ht="12.75">
      <c r="A123" s="297" t="s">
        <v>407</v>
      </c>
      <c r="C123" s="388">
        <f>C120+C122</f>
        <v>3076099.84</v>
      </c>
    </row>
    <row r="125" spans="1:5" ht="12.75">
      <c r="A125" s="381" t="s">
        <v>408</v>
      </c>
      <c r="C125" s="331" t="s">
        <v>331</v>
      </c>
      <c r="D125" s="331" t="s">
        <v>332</v>
      </c>
      <c r="E125" s="382" t="s">
        <v>333</v>
      </c>
    </row>
    <row r="126" spans="1:5" ht="12.75">
      <c r="A126" s="297" t="s">
        <v>366</v>
      </c>
      <c r="C126" s="372">
        <f>B9</f>
        <v>0</v>
      </c>
      <c r="D126" s="372">
        <f>SUM(C9+B45+B79)</f>
        <v>0</v>
      </c>
      <c r="E126" s="372">
        <f>SUM(D9+C45+C79)</f>
        <v>610</v>
      </c>
    </row>
    <row r="127" spans="1:5" ht="12.75">
      <c r="A127" s="297" t="s">
        <v>409</v>
      </c>
      <c r="C127" s="493">
        <v>1843.14</v>
      </c>
      <c r="D127" s="493">
        <v>1843.14</v>
      </c>
      <c r="E127" s="493">
        <v>2148.15</v>
      </c>
    </row>
    <row r="128" spans="1:5" ht="12.75">
      <c r="A128" s="297" t="s">
        <v>408</v>
      </c>
      <c r="C128" s="385">
        <f>C127*C126</f>
        <v>0</v>
      </c>
      <c r="D128" s="385">
        <f>D127*D126</f>
        <v>0</v>
      </c>
      <c r="E128" s="385">
        <f>E127*E126</f>
        <v>1310371.5</v>
      </c>
    </row>
    <row r="130" spans="1:3" ht="12.75">
      <c r="A130" s="297" t="s">
        <v>410</v>
      </c>
      <c r="C130" s="388">
        <f>C128+D128+E128</f>
        <v>1310371.5</v>
      </c>
    </row>
    <row r="132" ht="12.75">
      <c r="A132" s="378" t="s">
        <v>411</v>
      </c>
    </row>
    <row r="133" spans="1:3" ht="12.75">
      <c r="A133" s="297" t="s">
        <v>407</v>
      </c>
      <c r="C133" s="385">
        <f>C123</f>
        <v>3076099.84</v>
      </c>
    </row>
    <row r="134" spans="1:3" ht="12.75">
      <c r="A134" s="297" t="s">
        <v>410</v>
      </c>
      <c r="C134" s="387">
        <f>C130</f>
        <v>1310371.5</v>
      </c>
    </row>
    <row r="135" spans="1:4" ht="12.75">
      <c r="A135" s="313" t="s">
        <v>412</v>
      </c>
      <c r="C135" s="388">
        <f>C133+C134</f>
        <v>4386471.34</v>
      </c>
      <c r="D135" s="297" t="s">
        <v>530</v>
      </c>
    </row>
    <row r="136" spans="4:6" ht="12.75">
      <c r="D136" s="330" t="s">
        <v>531</v>
      </c>
      <c r="E136" s="521" t="s">
        <v>527</v>
      </c>
      <c r="F136" s="386" t="s">
        <v>529</v>
      </c>
    </row>
    <row r="167" ht="30.75" customHeight="1"/>
    <row r="190" spans="1:10" ht="12.75">
      <c r="A190" s="313"/>
      <c r="B190" s="330"/>
      <c r="C190" s="383"/>
      <c r="D190" s="383"/>
      <c r="F190" s="330"/>
      <c r="G190" s="383"/>
      <c r="H190" s="383"/>
      <c r="I190" s="330"/>
      <c r="J190" s="384"/>
    </row>
  </sheetData>
  <sheetProtection sheet="1" formatCells="0" formatColumns="0" formatRows="0"/>
  <mergeCells count="15">
    <mergeCell ref="A107:J107"/>
    <mergeCell ref="A108:J108"/>
    <mergeCell ref="A109:J109"/>
    <mergeCell ref="A39:J39"/>
    <mergeCell ref="A40:J40"/>
    <mergeCell ref="A41:J41"/>
    <mergeCell ref="A73:J73"/>
    <mergeCell ref="A74:J74"/>
    <mergeCell ref="A75:J75"/>
    <mergeCell ref="B1:C1"/>
    <mergeCell ref="A3:J3"/>
    <mergeCell ref="I1:J1"/>
    <mergeCell ref="E1:G1"/>
    <mergeCell ref="A4:J4"/>
    <mergeCell ref="A5:J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1" activePane="bottomLeft" state="frozen"/>
      <selection pane="topLeft" activeCell="A1" sqref="A1"/>
      <selection pane="bottomLeft" activeCell="C24" sqref="C24"/>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510</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511</v>
      </c>
    </row>
    <row r="6" spans="1:3" ht="122.25" customHeight="1">
      <c r="A6" s="208" t="s">
        <v>222</v>
      </c>
      <c r="B6" s="196" t="s">
        <v>325</v>
      </c>
      <c r="C6" s="226" t="s">
        <v>512</v>
      </c>
    </row>
    <row r="7" spans="1:3" ht="31.5" customHeight="1">
      <c r="A7" s="268" t="s">
        <v>323</v>
      </c>
      <c r="B7" s="196" t="s">
        <v>323</v>
      </c>
      <c r="C7" s="226" t="s">
        <v>324</v>
      </c>
    </row>
    <row r="8" spans="1:3" ht="50.25" customHeight="1">
      <c r="A8" s="208">
        <v>1</v>
      </c>
      <c r="B8" s="196" t="s">
        <v>221</v>
      </c>
      <c r="C8" s="226" t="s">
        <v>513</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2" t="s">
        <v>514</v>
      </c>
    </row>
    <row r="14" spans="1:3" ht="91.5" customHeight="1">
      <c r="A14" s="208">
        <v>2</v>
      </c>
      <c r="B14" s="196" t="s">
        <v>239</v>
      </c>
      <c r="C14" s="226" t="s">
        <v>273</v>
      </c>
    </row>
    <row r="15" spans="1:3" ht="133.5" customHeight="1">
      <c r="A15" s="208">
        <v>2</v>
      </c>
      <c r="B15" s="196" t="s">
        <v>276</v>
      </c>
      <c r="C15" s="226" t="s">
        <v>520</v>
      </c>
    </row>
    <row r="16" spans="1:3" ht="102" customHeight="1">
      <c r="A16" s="208">
        <v>2</v>
      </c>
      <c r="B16" s="196" t="s">
        <v>277</v>
      </c>
      <c r="C16" s="226" t="s">
        <v>526</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515</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2" t="s">
        <v>519</v>
      </c>
    </row>
    <row r="26" spans="1:3" ht="63.75" customHeight="1">
      <c r="A26" s="208">
        <v>4</v>
      </c>
      <c r="B26" s="196" t="s">
        <v>516</v>
      </c>
      <c r="C26" s="492" t="s">
        <v>517</v>
      </c>
    </row>
    <row r="27" spans="1:3" ht="66" customHeight="1">
      <c r="A27" s="208">
        <v>4</v>
      </c>
      <c r="B27" s="196" t="s">
        <v>228</v>
      </c>
      <c r="C27" s="492" t="s">
        <v>518</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4"/>
  <sheetViews>
    <sheetView showGridLines="0" tabSelected="1" workbookViewId="0" topLeftCell="A1">
      <selection activeCell="A8" sqref="A8:IV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80" t="str">
        <f>Cover!D1</f>
        <v>Educational Options Foundation, Inc. </v>
      </c>
      <c r="C1" s="580"/>
      <c r="E1" s="265" t="s">
        <v>309</v>
      </c>
      <c r="F1" s="264" t="str">
        <f>Cover!M1</f>
        <v>Maricopa</v>
      </c>
      <c r="G1" s="265" t="s">
        <v>310</v>
      </c>
      <c r="H1" s="274" t="str">
        <f>[0]!CTD</f>
        <v>078558000</v>
      </c>
    </row>
    <row r="2" spans="2:8" ht="12.75">
      <c r="B2" s="267"/>
      <c r="C2" s="267"/>
      <c r="E2" s="265"/>
      <c r="F2" s="266"/>
      <c r="G2" s="265"/>
      <c r="H2" s="43"/>
    </row>
    <row r="3" spans="2:8" ht="12.75">
      <c r="B3" s="267"/>
      <c r="C3" s="267"/>
      <c r="E3" s="265"/>
      <c r="F3" s="266"/>
      <c r="G3" s="265"/>
      <c r="H3" s="43"/>
    </row>
    <row r="4" spans="2:8" ht="12.75">
      <c r="B4" s="267"/>
      <c r="C4" s="581" t="s">
        <v>321</v>
      </c>
      <c r="D4" s="581"/>
      <c r="E4" s="581"/>
      <c r="F4" s="581"/>
      <c r="G4" s="581"/>
      <c r="H4" s="581"/>
    </row>
    <row r="5" ht="12.75">
      <c r="Z5" s="263" t="s">
        <v>307</v>
      </c>
    </row>
    <row r="6" spans="3:26" ht="12.75">
      <c r="C6" s="273" t="s">
        <v>291</v>
      </c>
      <c r="D6" s="273" t="s">
        <v>292</v>
      </c>
      <c r="E6" s="273" t="s">
        <v>293</v>
      </c>
      <c r="F6" s="273" t="s">
        <v>294</v>
      </c>
      <c r="G6" s="273" t="s">
        <v>328</v>
      </c>
      <c r="H6" s="273" t="s">
        <v>295</v>
      </c>
      <c r="Z6" s="263" t="s">
        <v>297</v>
      </c>
    </row>
    <row r="7" spans="1:26" ht="12.75">
      <c r="A7" s="577" t="s">
        <v>287</v>
      </c>
      <c r="B7" s="578"/>
      <c r="C7" s="522"/>
      <c r="D7" s="522" t="s">
        <v>540</v>
      </c>
      <c r="E7" s="522" t="s">
        <v>541</v>
      </c>
      <c r="F7" s="522"/>
      <c r="G7" s="524" t="s">
        <v>542</v>
      </c>
      <c r="H7" s="523">
        <v>6232044700</v>
      </c>
      <c r="Z7" s="263" t="s">
        <v>296</v>
      </c>
    </row>
    <row r="8" spans="1:26" ht="12.75">
      <c r="A8" s="577" t="s">
        <v>288</v>
      </c>
      <c r="B8" s="578"/>
      <c r="C8" s="522"/>
      <c r="D8" s="522" t="s">
        <v>543</v>
      </c>
      <c r="E8" s="522" t="s">
        <v>544</v>
      </c>
      <c r="F8" s="522"/>
      <c r="G8" s="524" t="s">
        <v>545</v>
      </c>
      <c r="H8" s="523">
        <v>6024180778</v>
      </c>
      <c r="Z8" s="269" t="s">
        <v>298</v>
      </c>
    </row>
    <row r="9" spans="1:8" ht="12.75">
      <c r="A9" s="577" t="s">
        <v>286</v>
      </c>
      <c r="B9" s="578"/>
      <c r="C9" s="522"/>
      <c r="D9" s="522" t="s">
        <v>546</v>
      </c>
      <c r="E9" s="522" t="s">
        <v>547</v>
      </c>
      <c r="F9" s="522"/>
      <c r="G9" s="524" t="s">
        <v>548</v>
      </c>
      <c r="H9" s="523">
        <v>4809407538</v>
      </c>
    </row>
    <row r="10" spans="1:26" ht="12.75">
      <c r="A10" s="577" t="s">
        <v>285</v>
      </c>
      <c r="B10" s="578"/>
      <c r="C10" s="522"/>
      <c r="D10" s="522" t="s">
        <v>549</v>
      </c>
      <c r="E10" s="522" t="s">
        <v>550</v>
      </c>
      <c r="F10" s="522"/>
      <c r="G10" s="524" t="s">
        <v>551</v>
      </c>
      <c r="H10" s="523">
        <v>6026213365</v>
      </c>
      <c r="W10" s="85"/>
      <c r="Z10" s="263" t="s">
        <v>308</v>
      </c>
    </row>
    <row r="11" spans="1:26" ht="12.75">
      <c r="A11" s="577" t="s">
        <v>290</v>
      </c>
      <c r="B11" s="578"/>
      <c r="C11" s="522"/>
      <c r="D11" s="522" t="s">
        <v>561</v>
      </c>
      <c r="E11" s="522" t="s">
        <v>552</v>
      </c>
      <c r="F11" s="522"/>
      <c r="G11" s="524" t="s">
        <v>553</v>
      </c>
      <c r="H11" s="523">
        <v>6026213365</v>
      </c>
      <c r="W11" s="85"/>
      <c r="Z11" s="263" t="s">
        <v>303</v>
      </c>
    </row>
    <row r="12" spans="1:26" ht="12.75">
      <c r="A12" s="577" t="s">
        <v>289</v>
      </c>
      <c r="B12" s="578"/>
      <c r="C12" s="522"/>
      <c r="D12" s="522" t="s">
        <v>540</v>
      </c>
      <c r="E12" s="522" t="s">
        <v>541</v>
      </c>
      <c r="F12" s="522"/>
      <c r="G12" s="524" t="s">
        <v>554</v>
      </c>
      <c r="H12" s="523">
        <v>6232044700</v>
      </c>
      <c r="W12" s="85"/>
      <c r="Z12" s="263" t="s">
        <v>305</v>
      </c>
    </row>
    <row r="13" spans="1:26" ht="12.75">
      <c r="A13" s="577" t="s">
        <v>289</v>
      </c>
      <c r="B13" s="578"/>
      <c r="C13" s="522"/>
      <c r="D13" s="522" t="s">
        <v>543</v>
      </c>
      <c r="E13" s="522" t="s">
        <v>544</v>
      </c>
      <c r="F13" s="522"/>
      <c r="G13" s="524" t="s">
        <v>545</v>
      </c>
      <c r="H13" s="523">
        <v>6024180778</v>
      </c>
      <c r="W13" s="85"/>
      <c r="Z13" s="263" t="s">
        <v>299</v>
      </c>
    </row>
    <row r="14" spans="1:26" ht="12.75">
      <c r="A14" s="577" t="s">
        <v>289</v>
      </c>
      <c r="B14" s="578"/>
      <c r="C14" s="522"/>
      <c r="D14" s="522" t="s">
        <v>543</v>
      </c>
      <c r="E14" s="522" t="s">
        <v>555</v>
      </c>
      <c r="F14" s="522"/>
      <c r="G14" s="524" t="s">
        <v>556</v>
      </c>
      <c r="H14" s="523">
        <v>6026213365</v>
      </c>
      <c r="W14" s="85"/>
      <c r="Z14" s="263" t="s">
        <v>304</v>
      </c>
    </row>
    <row r="15" spans="1:26" ht="12.75">
      <c r="A15" s="577" t="s">
        <v>289</v>
      </c>
      <c r="B15" s="578"/>
      <c r="C15" s="522"/>
      <c r="D15" s="522" t="s">
        <v>557</v>
      </c>
      <c r="E15" s="522" t="s">
        <v>558</v>
      </c>
      <c r="F15" s="522"/>
      <c r="G15" s="524" t="s">
        <v>559</v>
      </c>
      <c r="H15" s="523">
        <v>6026213365</v>
      </c>
      <c r="W15" s="85"/>
      <c r="Z15" s="263" t="s">
        <v>306</v>
      </c>
    </row>
    <row r="16" spans="1:26" ht="12.75">
      <c r="A16" s="577" t="s">
        <v>289</v>
      </c>
      <c r="B16" s="578"/>
      <c r="C16" s="522"/>
      <c r="D16" s="522"/>
      <c r="E16" s="522"/>
      <c r="F16" s="522"/>
      <c r="G16" s="524"/>
      <c r="H16" s="523"/>
      <c r="W16" s="85"/>
      <c r="Z16" s="263" t="s">
        <v>300</v>
      </c>
    </row>
    <row r="17" spans="1:26" ht="12.75">
      <c r="A17" s="577" t="s">
        <v>289</v>
      </c>
      <c r="B17" s="578"/>
      <c r="C17" s="522"/>
      <c r="D17" s="522"/>
      <c r="E17" s="522"/>
      <c r="F17" s="522"/>
      <c r="G17" s="524"/>
      <c r="H17" s="523"/>
      <c r="W17" s="85"/>
      <c r="Z17" s="263" t="s">
        <v>301</v>
      </c>
    </row>
    <row r="18" spans="1:26" ht="12.75">
      <c r="A18" s="577" t="s">
        <v>289</v>
      </c>
      <c r="B18" s="578"/>
      <c r="C18" s="522"/>
      <c r="D18" s="522"/>
      <c r="E18" s="522"/>
      <c r="F18" s="522"/>
      <c r="G18" s="524"/>
      <c r="H18" s="523"/>
      <c r="W18" s="85"/>
      <c r="Z18" s="263" t="s">
        <v>302</v>
      </c>
    </row>
    <row r="19" spans="1:23" ht="12.75">
      <c r="A19" s="577" t="s">
        <v>289</v>
      </c>
      <c r="B19" s="578"/>
      <c r="C19" s="522"/>
      <c r="D19" s="522"/>
      <c r="E19" s="522"/>
      <c r="F19" s="522"/>
      <c r="G19" s="524"/>
      <c r="H19" s="523"/>
      <c r="W19" s="85"/>
    </row>
    <row r="20" spans="1:23" ht="12.75">
      <c r="A20" s="577" t="s">
        <v>289</v>
      </c>
      <c r="B20" s="578"/>
      <c r="C20" s="522"/>
      <c r="D20" s="522"/>
      <c r="E20" s="522"/>
      <c r="F20" s="522"/>
      <c r="G20" s="524"/>
      <c r="H20" s="523"/>
      <c r="W20" s="85"/>
    </row>
    <row r="21" spans="1:26" ht="12.75">
      <c r="A21" s="85"/>
      <c r="B21" s="85"/>
      <c r="W21" s="85"/>
      <c r="Z21" s="269" t="s">
        <v>311</v>
      </c>
    </row>
    <row r="22" spans="1:26" ht="12.75">
      <c r="A22" s="85"/>
      <c r="B22" s="85"/>
      <c r="C22" s="579" t="s">
        <v>457</v>
      </c>
      <c r="D22" s="579"/>
      <c r="Z22" s="269" t="s">
        <v>312</v>
      </c>
    </row>
    <row r="23" spans="1:26" ht="12.75">
      <c r="A23" s="577" t="s">
        <v>322</v>
      </c>
      <c r="B23" s="578"/>
      <c r="C23" s="585" t="s">
        <v>319</v>
      </c>
      <c r="D23" s="586"/>
      <c r="Z23" s="269" t="s">
        <v>313</v>
      </c>
    </row>
    <row r="24" spans="1:26" ht="12.75">
      <c r="A24" s="85"/>
      <c r="B24" s="85"/>
      <c r="Z24" s="269" t="s">
        <v>314</v>
      </c>
    </row>
    <row r="25" spans="1:26" ht="12.75">
      <c r="A25" s="557" t="s">
        <v>456</v>
      </c>
      <c r="B25" s="584"/>
      <c r="C25" s="582" t="s">
        <v>560</v>
      </c>
      <c r="D25" s="583"/>
      <c r="Z25" s="269" t="s">
        <v>315</v>
      </c>
    </row>
    <row r="26" ht="12.75">
      <c r="Z26" s="269" t="s">
        <v>316</v>
      </c>
    </row>
    <row r="27" ht="12.75">
      <c r="Z27" s="269" t="s">
        <v>317</v>
      </c>
    </row>
    <row r="28" ht="12.75">
      <c r="Z28" s="269" t="s">
        <v>318</v>
      </c>
    </row>
    <row r="29" spans="1:26" ht="15">
      <c r="A29" s="262"/>
      <c r="B29" s="262"/>
      <c r="Z29" s="269" t="s">
        <v>319</v>
      </c>
    </row>
    <row r="30" spans="1:26" ht="12.75">
      <c r="A30" s="85"/>
      <c r="B30" s="85"/>
      <c r="Z30" s="269" t="s">
        <v>320</v>
      </c>
    </row>
    <row r="31" spans="1:26" ht="12.75">
      <c r="A31" s="85"/>
      <c r="B31" s="85"/>
      <c r="Z31" s="269"/>
    </row>
    <row r="32" spans="1:2" ht="12.75">
      <c r="A32" s="85"/>
      <c r="B32" s="85"/>
    </row>
    <row r="33" spans="1:3" ht="15">
      <c r="A33" s="576"/>
      <c r="B33" s="576"/>
      <c r="C33" s="85"/>
    </row>
    <row r="34" spans="2:3" ht="12.75">
      <c r="B34" s="85"/>
      <c r="C34" s="85"/>
    </row>
    <row r="35" spans="2:3" ht="12.75">
      <c r="B35" s="85"/>
      <c r="C35" s="85"/>
    </row>
    <row r="36" spans="1:3" ht="15">
      <c r="A36" s="262"/>
      <c r="B36" s="262"/>
      <c r="C36" s="85"/>
    </row>
    <row r="37" spans="1:3" ht="12.75">
      <c r="A37" s="85"/>
      <c r="B37" s="85"/>
      <c r="C37" s="85"/>
    </row>
    <row r="38" spans="1:3" ht="15">
      <c r="A38" s="85"/>
      <c r="B38" s="262"/>
      <c r="C38" s="85"/>
    </row>
    <row r="39" spans="1:3" ht="12.75">
      <c r="A39" s="85"/>
      <c r="B39" s="85"/>
      <c r="C39" s="85"/>
    </row>
    <row r="40" spans="1:3" ht="12.75">
      <c r="A40" s="85"/>
      <c r="B40" s="85"/>
      <c r="C40" s="85"/>
    </row>
    <row r="41" spans="1:3" ht="12.75">
      <c r="A41" s="85"/>
      <c r="B41" s="85"/>
      <c r="C41" s="85"/>
    </row>
    <row r="42" spans="1:2" ht="12.75">
      <c r="A42" s="85"/>
      <c r="B42" s="85"/>
    </row>
    <row r="43" spans="1:2" ht="12.75">
      <c r="A43" s="85"/>
      <c r="B43" s="85"/>
    </row>
    <row r="44" spans="1:2" ht="15">
      <c r="A44" s="85"/>
      <c r="B44" s="262"/>
    </row>
  </sheetData>
  <sheetProtection sheet="1"/>
  <mergeCells count="22">
    <mergeCell ref="C25:D25"/>
    <mergeCell ref="A25:B25"/>
    <mergeCell ref="A17:B17"/>
    <mergeCell ref="A18:B18"/>
    <mergeCell ref="A12:B12"/>
    <mergeCell ref="A11:B11"/>
    <mergeCell ref="C23:D23"/>
    <mergeCell ref="A7:B7"/>
    <mergeCell ref="C22:D22"/>
    <mergeCell ref="A9:B9"/>
    <mergeCell ref="A10:B10"/>
    <mergeCell ref="B1:C1"/>
    <mergeCell ref="C4:H4"/>
    <mergeCell ref="A8:B8"/>
    <mergeCell ref="A33:B33"/>
    <mergeCell ref="A23:B23"/>
    <mergeCell ref="A14:B14"/>
    <mergeCell ref="A15:B15"/>
    <mergeCell ref="A16:B16"/>
    <mergeCell ref="A13:B13"/>
    <mergeCell ref="A19:B19"/>
    <mergeCell ref="A20:B20"/>
  </mergeCells>
  <dataValidations count="11">
    <dataValidation type="list" allowBlank="1" sqref="F7">
      <formula1>$Z$10:$Z$18</formula1>
    </dataValidation>
    <dataValidation type="list" showInputMessage="1" showErrorMessage="1" error="Please select a vendor from the drop down list." sqref="C23:D23">
      <formula1>$Z$21:$Z$30</formula1>
    </dataValidation>
    <dataValidation type="custom" allowBlank="1" showInputMessage="1" showErrorMessage="1" promptTitle="Email Address" prompt="Please enter a valid email address. " errorTitle="Email Address" error="Please enter a valid email address " sqref="G20 G8:G9 G14 G16:G18">
      <formula1>ISNUMBER(MATCH("*@*",G20,0))</formula1>
    </dataValidation>
    <dataValidation type="custom" allowBlank="1" showInputMessage="1" showErrorMessage="1" promptTitle="Email Address" prompt="Please enter a valid email address. " errorTitle="Email Address" error="Please enter a valid email address" sqref="G19">
      <formula1>ISNUMBER(MATCH("*@*",G19,0))</formula1>
    </dataValidation>
    <dataValidation type="custom" allowBlank="1" showInputMessage="1" showErrorMessage="1" promptTitle="Email Address" prompt="Please enter a valid email address." errorTitle="Email Address" error="Please enter a valid email address &#10;" sqref="G11">
      <formula1>ISNUMBER(MATCH("*@*",G11,0))</formula1>
    </dataValidation>
    <dataValidation allowBlank="1" showInputMessage="1" showErrorMessage="1" promptTitle="Charter's home page web address" prompt="Please include www. when entering the web address of the charter's home page." sqref="C25:D25"/>
    <dataValidation type="custom" allowBlank="1" showInputMessage="1" showErrorMessage="1" promptTitle="Email Address" prompt="Please enter a valid email address." errorTitle="Email Address" error="Please enter a valid email address " sqref="G15 G7 G12">
      <formula1>ISNUMBER(MATCH("*@*",G15,0))</formula1>
    </dataValidation>
    <dataValidation type="custom" allowBlank="1" showInputMessage="1" showErrorMessage="1" promptTitle="Email Address" prompt="Please enter a valid email address." errorTitle="Email Address" error="Please enter a valid email address" sqref="G13 G10">
      <formula1>ISNUMBER(MATCH("*@*",G13,0))</formula1>
    </dataValidation>
    <dataValidation type="list" allowBlank="1" sqref="C7:C20">
      <formula1>$Z$5:$Z$8</formula1>
    </dataValidation>
    <dataValidation type="list" allowBlank="1" sqref="F8:F20">
      <formula1>$Z$10:$Z$22</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0">
      <formula1>AND(ISNUMBER(H7),LEN(H7)=10)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6">
      <selection activeCell="H32" sqref="H32"/>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7" t="str">
        <f>Cover!D1</f>
        <v>Educational Options Foundation, Inc. </v>
      </c>
      <c r="E1" s="587"/>
      <c r="F1" s="587"/>
      <c r="H1" s="39" t="s">
        <v>53</v>
      </c>
      <c r="I1" s="588" t="str">
        <f>Cover!M1</f>
        <v>Maricopa</v>
      </c>
      <c r="J1" s="588"/>
      <c r="L1" s="39" t="s">
        <v>89</v>
      </c>
      <c r="M1" s="589" t="str">
        <f>Cover!R1</f>
        <v>078558000</v>
      </c>
      <c r="N1" s="589"/>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0"/>
      <c r="F4" s="62"/>
      <c r="G4" s="209" t="s">
        <v>13</v>
      </c>
      <c r="H4" s="61" t="s">
        <v>17</v>
      </c>
      <c r="J4" s="62"/>
      <c r="K4" s="222" t="s">
        <v>242</v>
      </c>
      <c r="L4" s="61" t="s">
        <v>62</v>
      </c>
      <c r="M4" s="74" t="s">
        <v>63</v>
      </c>
      <c r="N4" s="93"/>
    </row>
    <row r="5" spans="4:14" ht="12" customHeight="1">
      <c r="D5" s="590"/>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2">
        <v>2020</v>
      </c>
      <c r="M6" s="74" t="s">
        <v>65</v>
      </c>
      <c r="N6" s="93"/>
    </row>
    <row r="7" spans="1:13" ht="12" customHeight="1">
      <c r="A7" s="12" t="s">
        <v>21</v>
      </c>
      <c r="F7" s="97"/>
      <c r="G7" s="97"/>
      <c r="H7" s="97"/>
      <c r="I7" s="97"/>
      <c r="J7" s="99"/>
      <c r="K7" s="1"/>
      <c r="L7" s="1"/>
      <c r="M7" s="54"/>
    </row>
    <row r="8" spans="2:14" ht="12" customHeight="1">
      <c r="B8" s="12" t="s">
        <v>22</v>
      </c>
      <c r="E8" s="3">
        <v>1</v>
      </c>
      <c r="F8" s="20">
        <f>576541-15873</f>
        <v>560668</v>
      </c>
      <c r="G8" s="20">
        <f>55233-150</f>
        <v>55083</v>
      </c>
      <c r="H8" s="20">
        <f>34800-5000</f>
        <v>29800</v>
      </c>
      <c r="I8" s="20">
        <f>37500-1049</f>
        <v>36451</v>
      </c>
      <c r="J8" s="130">
        <v>241000</v>
      </c>
      <c r="K8" s="132">
        <f>[1]!SP1000P100F1000</f>
        <v>837406</v>
      </c>
      <c r="L8" s="133">
        <f>SUM(F8:J8)</f>
        <v>923002</v>
      </c>
      <c r="M8" s="126">
        <f>IF(K8=0," ",(L8-K8)/K8)</f>
        <v>0.102</v>
      </c>
      <c r="N8" s="2">
        <v>1</v>
      </c>
    </row>
    <row r="9" spans="2:14" ht="12" customHeight="1">
      <c r="B9" s="12" t="s">
        <v>23</v>
      </c>
      <c r="E9" s="3"/>
      <c r="F9" s="97"/>
      <c r="G9" s="97"/>
      <c r="H9" s="97"/>
      <c r="I9" s="97"/>
      <c r="J9" s="99"/>
      <c r="K9" s="54"/>
      <c r="L9" s="54"/>
      <c r="M9" s="54"/>
      <c r="N9" s="2"/>
    </row>
    <row r="10" spans="2:14" ht="12" customHeight="1">
      <c r="B10" s="12" t="s">
        <v>129</v>
      </c>
      <c r="E10" s="3">
        <v>2</v>
      </c>
      <c r="F10" s="20">
        <v>11400</v>
      </c>
      <c r="G10" s="20">
        <v>1092</v>
      </c>
      <c r="H10" s="20">
        <v>300</v>
      </c>
      <c r="I10" s="20">
        <v>600</v>
      </c>
      <c r="J10" s="130">
        <v>2800</v>
      </c>
      <c r="K10" s="20">
        <f>[1]!SP1000P100F2100</f>
        <v>10284</v>
      </c>
      <c r="L10" s="6">
        <f>SUM(F10:J10)</f>
        <v>16192</v>
      </c>
      <c r="M10" s="10">
        <f>IF(K10=0," ",(L10-K10)/K10)</f>
        <v>0.574</v>
      </c>
      <c r="N10" s="2">
        <v>2</v>
      </c>
    </row>
    <row r="11" spans="2:14" ht="12" customHeight="1">
      <c r="B11" s="12" t="s">
        <v>147</v>
      </c>
      <c r="E11" s="3">
        <v>3</v>
      </c>
      <c r="F11" s="20">
        <v>99500</v>
      </c>
      <c r="G11" s="20">
        <v>9532</v>
      </c>
      <c r="H11" s="20">
        <v>3100</v>
      </c>
      <c r="I11" s="20">
        <v>3400</v>
      </c>
      <c r="J11" s="20"/>
      <c r="K11" s="20">
        <f>[1]!SP1000P100F2200</f>
        <v>133966</v>
      </c>
      <c r="L11" s="6">
        <f aca="true" t="shared" si="0" ref="L11:L23">SUM(F11:J11)</f>
        <v>115532</v>
      </c>
      <c r="M11" s="10">
        <f aca="true" t="shared" si="1" ref="M11:M23">IF(K11=0," ",(L11-K11)/K11)</f>
        <v>-0.138</v>
      </c>
      <c r="N11" s="68">
        <v>3</v>
      </c>
    </row>
    <row r="12" spans="2:14" ht="12" customHeight="1">
      <c r="B12" s="12" t="s">
        <v>24</v>
      </c>
      <c r="E12" s="3">
        <v>4</v>
      </c>
      <c r="F12" s="20"/>
      <c r="G12" s="20"/>
      <c r="H12" s="20"/>
      <c r="I12" s="20"/>
      <c r="J12" s="20"/>
      <c r="K12" s="21">
        <f>[1]!SP1000P100F2300</f>
        <v>0</v>
      </c>
      <c r="L12" s="6">
        <f t="shared" si="0"/>
        <v>0</v>
      </c>
      <c r="M12" s="10" t="str">
        <f t="shared" si="1"/>
        <v> </v>
      </c>
      <c r="N12" s="68">
        <v>4</v>
      </c>
    </row>
    <row r="13" spans="2:14" ht="12" customHeight="1">
      <c r="B13" s="12" t="s">
        <v>25</v>
      </c>
      <c r="E13" s="3">
        <v>5</v>
      </c>
      <c r="F13" s="20">
        <v>168525</v>
      </c>
      <c r="G13" s="20">
        <v>16145</v>
      </c>
      <c r="H13" s="20">
        <v>4500</v>
      </c>
      <c r="I13" s="20">
        <v>16900</v>
      </c>
      <c r="J13" s="20">
        <v>300</v>
      </c>
      <c r="K13" s="21">
        <f>[1]!SP1000P100F2400</f>
        <v>101525</v>
      </c>
      <c r="L13" s="6">
        <f t="shared" si="0"/>
        <v>206370</v>
      </c>
      <c r="M13" s="10">
        <f t="shared" si="1"/>
        <v>1.033</v>
      </c>
      <c r="N13" s="68">
        <v>5</v>
      </c>
    </row>
    <row r="14" spans="2:14" ht="12" customHeight="1">
      <c r="B14" s="12" t="s">
        <v>148</v>
      </c>
      <c r="E14" s="3">
        <v>6</v>
      </c>
      <c r="F14" s="20"/>
      <c r="G14" s="20"/>
      <c r="H14" s="20">
        <v>74200</v>
      </c>
      <c r="I14" s="20">
        <v>13100</v>
      </c>
      <c r="J14" s="20">
        <v>7000</v>
      </c>
      <c r="K14" s="21">
        <f>[1]!SP1000P100F2500</f>
        <v>94300</v>
      </c>
      <c r="L14" s="6">
        <f>SUM(F14:J14)</f>
        <v>94300</v>
      </c>
      <c r="M14" s="10">
        <f t="shared" si="1"/>
        <v>0</v>
      </c>
      <c r="N14" s="68">
        <v>6</v>
      </c>
    </row>
    <row r="15" spans="2:14" ht="12" customHeight="1">
      <c r="B15" s="12" t="s">
        <v>149</v>
      </c>
      <c r="E15" s="3">
        <v>7</v>
      </c>
      <c r="F15" s="20"/>
      <c r="G15" s="20"/>
      <c r="H15" s="20">
        <f>439000-H32</f>
        <v>422400</v>
      </c>
      <c r="I15" s="20">
        <v>68800</v>
      </c>
      <c r="J15" s="20">
        <v>100</v>
      </c>
      <c r="K15" s="21">
        <f>[1]!SP1000P100F2600</f>
        <v>467926</v>
      </c>
      <c r="L15" s="6">
        <f t="shared" si="0"/>
        <v>491300</v>
      </c>
      <c r="M15" s="10">
        <f t="shared" si="1"/>
        <v>0.05</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c r="G17" s="20"/>
      <c r="H17" s="20"/>
      <c r="I17" s="20"/>
      <c r="J17" s="20"/>
      <c r="K17" s="21">
        <f>[1]!SP1000P100F3000</f>
        <v>0</v>
      </c>
      <c r="L17" s="6">
        <f t="shared" si="0"/>
        <v>0</v>
      </c>
      <c r="M17" s="10" t="str">
        <f t="shared" si="1"/>
        <v> </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c r="K19" s="21">
        <f>[1]!SP1000P100F5000</f>
        <v>0</v>
      </c>
      <c r="L19" s="6">
        <f t="shared" si="0"/>
        <v>0</v>
      </c>
      <c r="M19" s="10" t="str">
        <f t="shared" si="1"/>
        <v> </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840093</v>
      </c>
      <c r="G23" s="6">
        <f>SUM(G7:G22)</f>
        <v>81852</v>
      </c>
      <c r="H23" s="6">
        <f>SUM(H7:H22)</f>
        <v>534300</v>
      </c>
      <c r="I23" s="6">
        <f>SUM(I7:I22)</f>
        <v>139251</v>
      </c>
      <c r="J23" s="6">
        <f>SUM(J7:J22)</f>
        <v>251200</v>
      </c>
      <c r="K23" s="127">
        <f>SUM(K8:K22)</f>
        <v>1645407</v>
      </c>
      <c r="L23" s="127">
        <f t="shared" si="0"/>
        <v>1846696</v>
      </c>
      <c r="M23" s="10">
        <f t="shared" si="1"/>
        <v>0.122</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526">
        <f>27000+15873</f>
        <v>42873</v>
      </c>
      <c r="G25" s="20">
        <f>2587+150</f>
        <v>2737</v>
      </c>
      <c r="H25" s="20">
        <v>5000</v>
      </c>
      <c r="I25" s="20">
        <v>1049</v>
      </c>
      <c r="J25" s="130"/>
      <c r="K25" s="20">
        <f>[1]!SP1000P200F1000</f>
        <v>30682</v>
      </c>
      <c r="L25" s="6">
        <f>SUM(F25:J25)</f>
        <v>51659</v>
      </c>
      <c r="M25" s="184">
        <f>IF(K25=0," ",(L25-K25)/K25)</f>
        <v>0.684</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13400</v>
      </c>
      <c r="G27" s="20">
        <v>1284</v>
      </c>
      <c r="H27" s="20"/>
      <c r="I27" s="20"/>
      <c r="J27" s="130"/>
      <c r="K27" s="20">
        <f>[1]!SP1000P200F2100</f>
        <v>17314</v>
      </c>
      <c r="L27" s="6">
        <f>SUM(F27:J27)</f>
        <v>14684</v>
      </c>
      <c r="M27" s="184">
        <f>IF(K27=0," ",(L27-K27)/K27)</f>
        <v>-0.152</v>
      </c>
      <c r="N27" s="68">
        <v>17</v>
      </c>
    </row>
    <row r="28" spans="2:14" ht="12" customHeight="1">
      <c r="B28" s="12" t="s">
        <v>147</v>
      </c>
      <c r="E28" s="16">
        <v>18</v>
      </c>
      <c r="F28" s="20">
        <v>6000</v>
      </c>
      <c r="G28" s="20">
        <v>575</v>
      </c>
      <c r="H28" s="20"/>
      <c r="I28" s="20"/>
      <c r="J28" s="20"/>
      <c r="K28" s="20">
        <f>[1]!SP1000P200F2200</f>
        <v>0</v>
      </c>
      <c r="L28" s="6">
        <f aca="true" t="shared" si="2" ref="L28:L42">SUM(F28:J28)</f>
        <v>6575</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v>16600</v>
      </c>
      <c r="I32" s="20"/>
      <c r="J32" s="20"/>
      <c r="K32" s="21">
        <f>[1]!SP1000P200F2600</f>
        <v>41504</v>
      </c>
      <c r="L32" s="6">
        <f t="shared" si="2"/>
        <v>16600</v>
      </c>
      <c r="M32" s="10">
        <f t="shared" si="3"/>
        <v>-0.6</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62273</v>
      </c>
      <c r="G37" s="15">
        <f>SUM(G24:G36)</f>
        <v>4596</v>
      </c>
      <c r="H37" s="15">
        <f>SUM(H24:H36)</f>
        <v>21600</v>
      </c>
      <c r="I37" s="15">
        <f>SUM(I24:I36)</f>
        <v>1049</v>
      </c>
      <c r="J37" s="15">
        <f>SUM(J24:J36)</f>
        <v>0</v>
      </c>
      <c r="K37" s="15">
        <f>SUM(K25:K36)</f>
        <v>89500</v>
      </c>
      <c r="L37" s="15">
        <f t="shared" si="2"/>
        <v>89518</v>
      </c>
      <c r="M37" s="100">
        <f t="shared" si="3"/>
        <v>0</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20500</v>
      </c>
      <c r="I39" s="20">
        <v>200</v>
      </c>
      <c r="J39" s="20">
        <v>250</v>
      </c>
      <c r="K39" s="20">
        <f>[1]!SP1000P400</f>
        <v>20950</v>
      </c>
      <c r="L39" s="6">
        <f t="shared" si="2"/>
        <v>20950</v>
      </c>
      <c r="M39" s="10">
        <f t="shared" si="3"/>
        <v>0</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0</v>
      </c>
      <c r="L42" s="6">
        <f t="shared" si="2"/>
        <v>0</v>
      </c>
      <c r="M42" s="10" t="str">
        <f t="shared" si="3"/>
        <v> </v>
      </c>
      <c r="N42" s="68">
        <v>31</v>
      </c>
    </row>
    <row r="43" spans="1:14" ht="12" customHeight="1">
      <c r="A43" s="26"/>
      <c r="B43" s="104" t="s">
        <v>265</v>
      </c>
      <c r="C43" s="26"/>
      <c r="D43" s="26"/>
      <c r="E43" s="5">
        <v>32</v>
      </c>
      <c r="F43" s="6">
        <f aca="true" t="shared" si="4" ref="F43:K43">SUM(F37:F42)+F23</f>
        <v>902366</v>
      </c>
      <c r="G43" s="6">
        <f t="shared" si="4"/>
        <v>86448</v>
      </c>
      <c r="H43" s="6">
        <f t="shared" si="4"/>
        <v>576400</v>
      </c>
      <c r="I43" s="6">
        <f t="shared" si="4"/>
        <v>140500</v>
      </c>
      <c r="J43" s="6">
        <f t="shared" si="4"/>
        <v>251450</v>
      </c>
      <c r="K43" s="6">
        <f t="shared" si="4"/>
        <v>1755857</v>
      </c>
      <c r="L43" s="6">
        <f>SUM(F43:J43)</f>
        <v>1957164</v>
      </c>
      <c r="M43" s="10">
        <f t="shared" si="3"/>
        <v>0.115</v>
      </c>
      <c r="N43" s="68">
        <v>32</v>
      </c>
    </row>
    <row r="44" spans="1:14" ht="12" customHeight="1">
      <c r="A44" s="104" t="s">
        <v>257</v>
      </c>
      <c r="B44" s="26"/>
      <c r="C44" s="26"/>
      <c r="D44" s="26"/>
      <c r="E44" s="5">
        <v>33</v>
      </c>
      <c r="F44" s="6">
        <f>TotalCSP6100</f>
        <v>51706</v>
      </c>
      <c r="G44" s="6">
        <f>TotalCSP6200</f>
        <v>4953</v>
      </c>
      <c r="H44" s="6">
        <f>TotalCSP630064006500</f>
        <v>0</v>
      </c>
      <c r="I44" s="6">
        <f>TotalCSP6600</f>
        <v>0</v>
      </c>
      <c r="J44" s="96"/>
      <c r="K44" s="20">
        <f>[1]!SP1000ClassSiteProj</f>
        <v>65071</v>
      </c>
      <c r="L44" s="6">
        <f>SUM(F44:J44)</f>
        <v>56659</v>
      </c>
      <c r="M44" s="10">
        <f t="shared" si="3"/>
        <v>-0.129</v>
      </c>
      <c r="N44" s="68">
        <v>33</v>
      </c>
    </row>
    <row r="45" spans="1:14" ht="12" customHeight="1">
      <c r="A45" s="104" t="s">
        <v>258</v>
      </c>
      <c r="B45" s="26"/>
      <c r="C45" s="26"/>
      <c r="D45" s="26"/>
      <c r="E45" s="5">
        <v>34</v>
      </c>
      <c r="F45" s="96"/>
      <c r="G45" s="96"/>
      <c r="H45" s="96"/>
      <c r="I45" s="96"/>
      <c r="J45" s="96"/>
      <c r="K45" s="20">
        <f>[1]!SP1000InstrImpProj</f>
        <v>13671</v>
      </c>
      <c r="L45" s="6">
        <f>TotalInstructionalImprovement</f>
        <v>5427</v>
      </c>
      <c r="M45" s="10">
        <f t="shared" si="3"/>
        <v>-0.603</v>
      </c>
      <c r="N45" s="68">
        <v>34</v>
      </c>
    </row>
    <row r="46" spans="1:14" ht="12" customHeight="1">
      <c r="A46" s="104" t="s">
        <v>491</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341408</v>
      </c>
      <c r="L48" s="6">
        <f>FederalandStateProjectsTotal</f>
        <v>179245</v>
      </c>
      <c r="M48" s="10">
        <f t="shared" si="3"/>
        <v>-0.475</v>
      </c>
      <c r="N48" s="68">
        <v>37</v>
      </c>
    </row>
    <row r="49" spans="1:14" ht="12" customHeight="1">
      <c r="A49" s="72"/>
      <c r="B49" s="104" t="s">
        <v>272</v>
      </c>
      <c r="C49" s="26"/>
      <c r="D49" s="26"/>
      <c r="E49" s="5">
        <v>38</v>
      </c>
      <c r="F49" s="11">
        <f>SUM(F43+F44+F46+F47)</f>
        <v>954072</v>
      </c>
      <c r="G49" s="11">
        <f>SUM(G43+G44+G46+G47)</f>
        <v>91401</v>
      </c>
      <c r="H49" s="11">
        <f>SUM(H43+H44+H46+H47)</f>
        <v>576400</v>
      </c>
      <c r="I49" s="11">
        <f>SUM(I43+I44+I46+I47)</f>
        <v>140500</v>
      </c>
      <c r="J49" s="11">
        <f>SUM(J43+J46+J47)</f>
        <v>251450</v>
      </c>
      <c r="K49" s="8">
        <f>SUM(K43:K48)</f>
        <v>2176007</v>
      </c>
      <c r="L49" s="8">
        <f>SUM(L43:L48)</f>
        <v>2198495</v>
      </c>
      <c r="M49" s="10">
        <f>IF(K49=0," ",(L49-K49)/K49)</f>
        <v>0.01</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K21" sqref="K21"/>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2" t="str">
        <f>Cover!D1</f>
        <v>Educational Options Foundation, Inc. </v>
      </c>
      <c r="D1" s="593"/>
      <c r="E1" s="593"/>
      <c r="F1" s="593"/>
      <c r="H1" s="36" t="s">
        <v>1</v>
      </c>
      <c r="I1" s="594" t="str">
        <f>Cover!M1</f>
        <v>Maricopa</v>
      </c>
      <c r="J1" s="579"/>
      <c r="K1" s="579"/>
      <c r="M1" s="36" t="s">
        <v>89</v>
      </c>
      <c r="N1" s="207" t="str">
        <f>Cover!R1</f>
        <v>078558000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63" t="s">
        <v>73</v>
      </c>
      <c r="B3" s="563"/>
      <c r="C3" s="563"/>
      <c r="D3" s="220"/>
      <c r="E3" s="220"/>
      <c r="H3" s="211" t="s">
        <v>56</v>
      </c>
      <c r="I3" s="204"/>
      <c r="J3" s="204"/>
      <c r="K3" s="204"/>
      <c r="L3" s="204"/>
      <c r="M3" s="204"/>
      <c r="N3" s="204"/>
      <c r="P3" s="85"/>
      <c r="Q3" s="591"/>
      <c r="R3" s="591"/>
      <c r="S3" s="85"/>
      <c r="T3" s="85"/>
      <c r="U3" s="85"/>
      <c r="V3" s="85"/>
      <c r="W3" s="85"/>
      <c r="X3" s="85"/>
    </row>
    <row r="4" spans="1:24" ht="40.5" customHeight="1">
      <c r="A4" t="s">
        <v>31</v>
      </c>
      <c r="D4" s="106" t="s">
        <v>492</v>
      </c>
      <c r="E4" s="106" t="s">
        <v>493</v>
      </c>
      <c r="H4" s="29"/>
      <c r="I4" s="29"/>
      <c r="J4" s="29"/>
      <c r="K4" s="29"/>
      <c r="M4" s="106" t="s">
        <v>494</v>
      </c>
      <c r="N4" s="106" t="s">
        <v>495</v>
      </c>
      <c r="P4" s="85"/>
      <c r="Q4" s="591"/>
      <c r="R4" s="591"/>
      <c r="S4" s="85"/>
      <c r="T4" s="85"/>
      <c r="U4" s="85"/>
      <c r="V4" s="85"/>
      <c r="W4" s="85"/>
      <c r="X4" s="85"/>
    </row>
    <row r="5" spans="1:24" ht="12" customHeight="1">
      <c r="A5" s="116">
        <v>1</v>
      </c>
      <c r="B5" s="118" t="s">
        <v>179</v>
      </c>
      <c r="C5" s="117"/>
      <c r="D5" s="111">
        <f>[1]!FP11001130TitleI</f>
        <v>164769</v>
      </c>
      <c r="E5" s="111">
        <v>81168</v>
      </c>
      <c r="F5" s="27">
        <v>1</v>
      </c>
      <c r="G5" s="120">
        <v>1</v>
      </c>
      <c r="H5" s="216" t="s">
        <v>262</v>
      </c>
      <c r="I5" s="216"/>
      <c r="J5" s="233"/>
      <c r="K5" s="117"/>
      <c r="M5" s="112">
        <f>'[1]Page 2'!$N$5</f>
        <v>89500</v>
      </c>
      <c r="N5" s="112">
        <f>'Page 1'!L37</f>
        <v>89518</v>
      </c>
      <c r="O5" s="27">
        <v>1</v>
      </c>
      <c r="P5" s="85"/>
      <c r="Q5" s="85"/>
      <c r="R5" s="219"/>
      <c r="S5" s="219"/>
      <c r="T5" s="85"/>
      <c r="U5" s="85"/>
      <c r="V5" s="85"/>
      <c r="W5" s="85"/>
      <c r="X5" s="85"/>
    </row>
    <row r="6" spans="1:24" ht="12" customHeight="1">
      <c r="A6" s="116">
        <v>2</v>
      </c>
      <c r="B6" s="118" t="s">
        <v>180</v>
      </c>
      <c r="C6" s="117"/>
      <c r="D6" s="111">
        <f>[1]!FP11401150TitleII</f>
        <v>12338</v>
      </c>
      <c r="E6" s="111">
        <v>5653</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50000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88" t="s">
        <v>496</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94301</v>
      </c>
      <c r="E12" s="111">
        <v>72424</v>
      </c>
      <c r="F12" s="27">
        <v>8</v>
      </c>
      <c r="G12" s="120">
        <v>8</v>
      </c>
      <c r="H12" s="216" t="s">
        <v>261</v>
      </c>
      <c r="I12" s="216"/>
      <c r="J12" s="233"/>
      <c r="K12" s="117"/>
      <c r="M12" s="235">
        <f>SUM(M5:M11)</f>
        <v>89500</v>
      </c>
      <c r="N12" s="235">
        <f>IF(SUM(N5:N11)=SUM('Page 1'!L37),SUM(N5:N11),"Invalid")</f>
        <v>89518</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7" t="s">
        <v>497</v>
      </c>
      <c r="N16" s="597" t="s">
        <v>493</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7"/>
      <c r="N17" s="597"/>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20000</v>
      </c>
      <c r="E21" s="113">
        <v>20000</v>
      </c>
      <c r="F21" s="27">
        <v>17</v>
      </c>
      <c r="G21" s="116" t="s">
        <v>106</v>
      </c>
      <c r="H21" s="216" t="s">
        <v>231</v>
      </c>
      <c r="I21" s="216"/>
      <c r="J21" s="233"/>
      <c r="K21" s="234"/>
      <c r="M21" s="113">
        <f>[1]!IIPInstructionalImprovementPrograms</f>
        <v>13671</v>
      </c>
      <c r="N21" s="113">
        <v>5427</v>
      </c>
      <c r="O21" s="116" t="s">
        <v>106</v>
      </c>
      <c r="P21" s="85"/>
      <c r="Q21" s="85"/>
      <c r="R21" s="219"/>
      <c r="S21" s="219"/>
      <c r="T21" s="85"/>
      <c r="U21" s="85"/>
      <c r="V21" s="85"/>
      <c r="W21" s="85"/>
      <c r="X21" s="85"/>
    </row>
    <row r="22" spans="1:24" ht="12" customHeight="1" thickBot="1">
      <c r="A22" s="116">
        <v>18</v>
      </c>
      <c r="B22" s="118" t="s">
        <v>248</v>
      </c>
      <c r="C22" s="117"/>
      <c r="D22" s="115">
        <f>SUM(D5:D21)</f>
        <v>341408</v>
      </c>
      <c r="E22" s="115">
        <f>SUM(E5:E21)</f>
        <v>179245</v>
      </c>
      <c r="F22" s="27">
        <v>18</v>
      </c>
      <c r="G22" s="116" t="s">
        <v>107</v>
      </c>
      <c r="H22" s="121" t="s">
        <v>135</v>
      </c>
      <c r="I22" s="121"/>
      <c r="J22" s="117"/>
      <c r="K22" s="117"/>
      <c r="M22" s="115">
        <f>SUM(M18:M21)</f>
        <v>13671</v>
      </c>
      <c r="N22" s="115">
        <f>SUM(N18:N21)</f>
        <v>5427</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8</v>
      </c>
      <c r="L26" s="43" t="s">
        <v>40</v>
      </c>
      <c r="N26" s="23">
        <v>15000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v>
      </c>
      <c r="K27" s="117"/>
      <c r="L27" s="107" t="s">
        <v>41</v>
      </c>
      <c r="N27" s="23">
        <f>SP1000P100F1000+SP1000P200F1000+SP1000ClassSiteProj+53850+33500</f>
        <v>1118670</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341408</v>
      </c>
      <c r="E37" s="115">
        <f>E22+E36</f>
        <v>179245</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5" t="s">
        <v>214</v>
      </c>
      <c r="C47" s="596"/>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4">
      <selection activeCell="H43" sqref="H43"/>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Educational Options Foundation, Inc. </v>
      </c>
      <c r="E1" s="13"/>
      <c r="F1" s="39" t="s">
        <v>53</v>
      </c>
      <c r="G1" s="31" t="str">
        <f>Cover!M1</f>
        <v>Maricopa</v>
      </c>
      <c r="H1" s="77"/>
      <c r="I1" s="77"/>
      <c r="J1" s="77"/>
      <c r="K1" s="39" t="s">
        <v>89</v>
      </c>
      <c r="L1" s="206" t="str">
        <f>Cover!R1</f>
        <v>078558000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0"/>
      <c r="E4" s="53"/>
      <c r="F4" s="80"/>
      <c r="G4" s="73" t="s">
        <v>94</v>
      </c>
      <c r="H4" s="125" t="s">
        <v>14</v>
      </c>
      <c r="I4" s="55"/>
      <c r="J4" s="598" t="s">
        <v>61</v>
      </c>
      <c r="K4" s="599"/>
      <c r="L4" s="55" t="s">
        <v>63</v>
      </c>
    </row>
    <row r="5" spans="1:12" ht="10.5" customHeight="1">
      <c r="A5" s="4" t="s">
        <v>92</v>
      </c>
      <c r="D5" s="590"/>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19"/>
      <c r="K7" s="99"/>
      <c r="L7" s="54"/>
      <c r="M7" s="14"/>
      <c r="N7" s="81"/>
    </row>
    <row r="8" spans="1:14" ht="10.5" customHeight="1">
      <c r="A8" s="65"/>
      <c r="B8" s="12" t="s">
        <v>21</v>
      </c>
      <c r="E8" s="3"/>
      <c r="F8" s="127"/>
      <c r="G8" s="133"/>
      <c r="H8" s="228"/>
      <c r="I8" s="228"/>
      <c r="J8" s="520"/>
      <c r="K8" s="133"/>
      <c r="L8" s="126"/>
      <c r="M8" s="14"/>
      <c r="N8" s="81"/>
    </row>
    <row r="9" spans="1:14" ht="10.5" customHeight="1">
      <c r="A9" s="65"/>
      <c r="C9" s="12" t="s">
        <v>22</v>
      </c>
      <c r="D9" s="198"/>
      <c r="E9" s="3">
        <v>1</v>
      </c>
      <c r="F9" s="20">
        <v>20682</v>
      </c>
      <c r="G9" s="130">
        <v>1981</v>
      </c>
      <c r="H9" s="96"/>
      <c r="I9" s="96"/>
      <c r="J9" s="94">
        <f>[1]!CSP1011P100F1000</f>
        <v>26764</v>
      </c>
      <c r="K9" s="131">
        <f>SUM(F7:G9)</f>
        <v>22663</v>
      </c>
      <c r="L9" s="10">
        <f>IF(J9=0," ",(K9-J9)/J9)</f>
        <v>-0.153</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20682</v>
      </c>
      <c r="G12" s="6">
        <f>SUM(G7:G11)</f>
        <v>1981</v>
      </c>
      <c r="H12" s="238"/>
      <c r="I12" s="238"/>
      <c r="J12" s="127">
        <f>SUM(J8:J11)</f>
        <v>26764</v>
      </c>
      <c r="K12" s="127">
        <f>SUM(K8:K11)</f>
        <v>22663</v>
      </c>
      <c r="L12" s="126">
        <f>IF(J12=0," ",(K12-J12)/J12)</f>
        <v>-0.153</v>
      </c>
      <c r="M12" s="83" t="s">
        <v>106</v>
      </c>
    </row>
    <row r="13" spans="1:14" ht="10.5" customHeight="1">
      <c r="A13" s="65"/>
      <c r="B13" s="12" t="s">
        <v>28</v>
      </c>
      <c r="E13" s="3"/>
      <c r="F13" s="97"/>
      <c r="G13" s="99"/>
      <c r="H13" s="237"/>
      <c r="I13" s="237"/>
      <c r="J13" s="519"/>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19"/>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20682</v>
      </c>
      <c r="G23" s="15">
        <f>G12+G17+G22</f>
        <v>1981</v>
      </c>
      <c r="H23" s="228"/>
      <c r="I23" s="228"/>
      <c r="J23" s="15">
        <f>J12+J17+J22</f>
        <v>26764</v>
      </c>
      <c r="K23" s="15">
        <f>K12+K17+K22</f>
        <v>22663</v>
      </c>
      <c r="L23" s="10">
        <f>IF(J23=0," ",(K23-J23)/J23)</f>
        <v>-0.153</v>
      </c>
      <c r="M23" s="82" t="s">
        <v>115</v>
      </c>
      <c r="N23" s="81"/>
    </row>
    <row r="24" spans="1:14" ht="10.5" customHeight="1">
      <c r="A24" s="213" t="s">
        <v>93</v>
      </c>
      <c r="B24" s="202"/>
      <c r="C24" s="202"/>
      <c r="D24" s="202"/>
      <c r="F24" s="127"/>
      <c r="G24" s="133"/>
      <c r="H24" s="239"/>
      <c r="I24" s="237"/>
      <c r="J24" s="519"/>
      <c r="K24" s="99"/>
      <c r="L24" s="54"/>
      <c r="M24" s="82"/>
      <c r="N24" s="81"/>
    </row>
    <row r="25" spans="1:14" ht="10.5" customHeight="1">
      <c r="A25" s="65"/>
      <c r="B25" s="12" t="s">
        <v>21</v>
      </c>
      <c r="E25" s="3"/>
      <c r="F25" s="127"/>
      <c r="G25" s="133"/>
      <c r="H25" s="240"/>
      <c r="I25" s="228"/>
      <c r="J25" s="520"/>
      <c r="K25" s="133"/>
      <c r="L25" s="126"/>
      <c r="M25" s="82"/>
      <c r="N25" s="81"/>
    </row>
    <row r="26" spans="1:14" ht="10.5" customHeight="1">
      <c r="A26" s="65"/>
      <c r="C26" s="12" t="s">
        <v>22</v>
      </c>
      <c r="E26" s="3">
        <v>14</v>
      </c>
      <c r="F26" s="20">
        <v>12548</v>
      </c>
      <c r="G26" s="130">
        <v>1202</v>
      </c>
      <c r="H26" s="241"/>
      <c r="I26" s="96"/>
      <c r="J26" s="94">
        <f>[1]!CSP1012P100F1000</f>
        <v>18065</v>
      </c>
      <c r="K26" s="131">
        <f>SUM(F24:G26)</f>
        <v>13750</v>
      </c>
      <c r="L26" s="10">
        <f>IF(J26=0," ",(K26-J26)/J26)</f>
        <v>-0.239</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12548</v>
      </c>
      <c r="G29" s="6">
        <f>SUM(G24:G28)</f>
        <v>1202</v>
      </c>
      <c r="H29" s="228"/>
      <c r="I29" s="228"/>
      <c r="J29" s="97">
        <f>SUM(J25:J28)</f>
        <v>18065</v>
      </c>
      <c r="K29" s="97">
        <f>SUM(K25:K28)</f>
        <v>13750</v>
      </c>
      <c r="L29" s="126">
        <f>IF(J29=0," ",(K29-J29)/J29)</f>
        <v>-0.239</v>
      </c>
      <c r="M29" s="83" t="s">
        <v>119</v>
      </c>
    </row>
    <row r="30" spans="1:14" ht="10.5" customHeight="1">
      <c r="A30" s="65"/>
      <c r="B30" s="12" t="s">
        <v>28</v>
      </c>
      <c r="E30" s="3"/>
      <c r="F30" s="97"/>
      <c r="G30" s="99"/>
      <c r="H30" s="239"/>
      <c r="I30" s="237"/>
      <c r="J30" s="519"/>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19"/>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12548</v>
      </c>
      <c r="G40" s="6">
        <f>G29+G34+G39</f>
        <v>1202</v>
      </c>
      <c r="H40" s="96"/>
      <c r="I40" s="96"/>
      <c r="J40" s="6">
        <f>J29+J34+J39</f>
        <v>18065</v>
      </c>
      <c r="K40" s="6">
        <f>K29+K34+K39</f>
        <v>13750</v>
      </c>
      <c r="L40" s="10">
        <f>IF(J40=0," ",(K40-J40)/J40)</f>
        <v>-0.239</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18476</v>
      </c>
      <c r="G43" s="20">
        <v>1770</v>
      </c>
      <c r="H43" s="20"/>
      <c r="I43" s="130"/>
      <c r="J43" s="20">
        <f>[1]!CSP1013P100F1000</f>
        <v>20242</v>
      </c>
      <c r="K43" s="6">
        <f>SUM(F43:I43)</f>
        <v>20246</v>
      </c>
      <c r="L43" s="10">
        <f>IF(J43=0," ",(K43-J43)/J43)</f>
        <v>0</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18476</v>
      </c>
      <c r="G46" s="6">
        <f>SUM(G41:G45)</f>
        <v>1770</v>
      </c>
      <c r="H46" s="6">
        <f>SUM(H41:H45)</f>
        <v>0</v>
      </c>
      <c r="I46" s="6">
        <f>SUM(I41:I45)</f>
        <v>0</v>
      </c>
      <c r="J46" s="127">
        <f>SUM(J42:J45)</f>
        <v>20242</v>
      </c>
      <c r="K46" s="127">
        <f>SUM(F46:I46)</f>
        <v>20246</v>
      </c>
      <c r="L46" s="126">
        <f>IF(J46=0," ",(K46-J46)/J46)</f>
        <v>0</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18476</v>
      </c>
      <c r="G58" s="6">
        <f>G46+G51+G52+G53+G57</f>
        <v>1770</v>
      </c>
      <c r="H58" s="6">
        <f>H46+H51+H52+H53+H57</f>
        <v>0</v>
      </c>
      <c r="I58" s="6">
        <f>I46+I51+I52+I53+I57</f>
        <v>0</v>
      </c>
      <c r="J58" s="6">
        <f>J46+J51+J53+J57</f>
        <v>20242</v>
      </c>
      <c r="K58" s="6">
        <f>K46+K51+K53+K57</f>
        <v>20246</v>
      </c>
      <c r="L58" s="10">
        <f t="shared" si="0"/>
        <v>0</v>
      </c>
      <c r="M58" s="68">
        <v>39</v>
      </c>
    </row>
    <row r="59" spans="1:13" ht="12.75">
      <c r="A59" s="105" t="s">
        <v>255</v>
      </c>
      <c r="B59" s="72"/>
      <c r="C59" s="72"/>
      <c r="D59" s="72"/>
      <c r="E59" s="17">
        <v>40</v>
      </c>
      <c r="F59" s="24">
        <f>F23+F40+F58</f>
        <v>51706</v>
      </c>
      <c r="G59" s="24">
        <f>G23+G40+G58</f>
        <v>4953</v>
      </c>
      <c r="H59" s="25">
        <f>H58</f>
        <v>0</v>
      </c>
      <c r="I59" s="25">
        <f>I58</f>
        <v>0</v>
      </c>
      <c r="J59" s="25">
        <f>J23+J40+J58</f>
        <v>65071</v>
      </c>
      <c r="K59" s="24">
        <f>SUM(F59:I59)</f>
        <v>56659</v>
      </c>
      <c r="L59" s="10">
        <f t="shared" si="0"/>
        <v>-0.129</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1" t="str">
        <f>Cover!D1</f>
        <v>Educational Options Foundation, Inc. </v>
      </c>
      <c r="E1" s="601"/>
      <c r="F1" s="601"/>
      <c r="G1" s="13"/>
      <c r="H1" s="12"/>
      <c r="I1" s="39" t="s">
        <v>53</v>
      </c>
      <c r="J1" s="589" t="str">
        <f>Cover!M1</f>
        <v>Maricopa</v>
      </c>
      <c r="K1" s="589"/>
      <c r="L1" s="12"/>
      <c r="M1" s="39" t="s">
        <v>89</v>
      </c>
      <c r="N1" s="589" t="str">
        <f>Cover!R1</f>
        <v>078558000</v>
      </c>
      <c r="O1" s="589"/>
      <c r="P1" s="12"/>
    </row>
    <row r="2" spans="1:16" ht="12.75">
      <c r="A2" s="48"/>
      <c r="B2" s="48"/>
      <c r="C2" s="199"/>
      <c r="D2" s="48"/>
      <c r="E2" s="48"/>
      <c r="F2" s="48"/>
      <c r="G2" s="48"/>
      <c r="H2" s="48"/>
      <c r="I2" s="48"/>
      <c r="J2" s="48"/>
      <c r="K2" s="12"/>
      <c r="L2" s="12"/>
      <c r="M2" s="12"/>
      <c r="N2" s="12"/>
      <c r="O2" s="12"/>
      <c r="P2" s="12"/>
    </row>
    <row r="3" spans="1:16" ht="12.75">
      <c r="A3" s="49"/>
      <c r="B3" s="50"/>
      <c r="C3" s="50"/>
      <c r="D3" s="600"/>
      <c r="E3" s="51"/>
      <c r="F3" s="52" t="s">
        <v>141</v>
      </c>
      <c r="G3" s="53"/>
      <c r="H3" s="54"/>
      <c r="I3" s="54"/>
      <c r="J3" s="55" t="s">
        <v>14</v>
      </c>
      <c r="K3" s="1"/>
      <c r="L3" s="1"/>
      <c r="M3" s="56" t="s">
        <v>61</v>
      </c>
      <c r="N3" s="57"/>
      <c r="O3" s="54"/>
      <c r="P3" s="12"/>
    </row>
    <row r="4" spans="1:16" ht="12.75">
      <c r="A4" s="4"/>
      <c r="B4" s="12"/>
      <c r="C4" s="12"/>
      <c r="D4" s="590"/>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498</v>
      </c>
      <c r="B7" s="489"/>
      <c r="C7" s="489"/>
      <c r="D7" s="489"/>
      <c r="E7" s="490"/>
      <c r="F7" s="491"/>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37" t="s">
        <v>499</v>
      </c>
      <c r="B1" s="537"/>
      <c r="C1" s="537"/>
      <c r="D1" s="537"/>
      <c r="E1" s="537"/>
      <c r="F1" s="537"/>
      <c r="G1" s="537"/>
      <c r="H1" s="537"/>
      <c r="I1" s="537"/>
      <c r="J1" s="537"/>
      <c r="K1" s="146" t="s">
        <v>190</v>
      </c>
      <c r="L1" s="147" t="str">
        <f>[0]!CTD</f>
        <v>078558000</v>
      </c>
    </row>
    <row r="2" ht="3.75" customHeight="1"/>
    <row r="3" spans="1:13" ht="12" customHeight="1">
      <c r="A3" s="163" t="s">
        <v>211</v>
      </c>
      <c r="B3" s="164"/>
      <c r="C3" s="164"/>
      <c r="D3" s="629" t="s">
        <v>61</v>
      </c>
      <c r="E3" s="630"/>
      <c r="F3" s="158" t="s">
        <v>63</v>
      </c>
      <c r="H3" s="620"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Educational Options Foundation, Inc.  for fiscal year 2020 was officially proposed by the Governing Board on June 26, 2019. The complete budget may be reviewed by contacting Jeff Sawner at 4806213365 or jsawner@edopfoundation.org.</v>
      </c>
      <c r="I3" s="621"/>
      <c r="J3" s="621"/>
      <c r="K3" s="621"/>
      <c r="L3" s="621"/>
      <c r="M3" s="622"/>
    </row>
    <row r="4" spans="1:13" ht="12" customHeight="1">
      <c r="A4" s="165"/>
      <c r="D4" s="158" t="s">
        <v>243</v>
      </c>
      <c r="E4" s="158" t="s">
        <v>55</v>
      </c>
      <c r="F4" s="166" t="s">
        <v>64</v>
      </c>
      <c r="H4" s="623"/>
      <c r="I4" s="624"/>
      <c r="J4" s="624"/>
      <c r="K4" s="624"/>
      <c r="L4" s="624"/>
      <c r="M4" s="625"/>
    </row>
    <row r="5" spans="1:13" ht="12" customHeight="1">
      <c r="A5" s="165" t="s">
        <v>21</v>
      </c>
      <c r="D5" s="513">
        <v>2019</v>
      </c>
      <c r="E5" s="513">
        <v>2020</v>
      </c>
      <c r="F5" s="167" t="s">
        <v>65</v>
      </c>
      <c r="H5" s="623"/>
      <c r="I5" s="624"/>
      <c r="J5" s="624"/>
      <c r="K5" s="624"/>
      <c r="L5" s="624"/>
      <c r="M5" s="625"/>
    </row>
    <row r="6" spans="1:13" ht="12" customHeight="1">
      <c r="A6" s="165"/>
      <c r="B6" s="145" t="s">
        <v>22</v>
      </c>
      <c r="D6" s="149">
        <f>SP1000P100F1000CY</f>
        <v>837406</v>
      </c>
      <c r="E6" s="149">
        <f>SP1000P100F1000</f>
        <v>923002</v>
      </c>
      <c r="F6" s="168">
        <f>IF(D6=0," ",(E6-D6)/D6)</f>
        <v>0.102</v>
      </c>
      <c r="H6" s="623"/>
      <c r="I6" s="624"/>
      <c r="J6" s="624"/>
      <c r="K6" s="624"/>
      <c r="L6" s="624"/>
      <c r="M6" s="625"/>
    </row>
    <row r="7" spans="1:13" ht="12" customHeight="1">
      <c r="A7" s="165"/>
      <c r="B7" s="145" t="s">
        <v>23</v>
      </c>
      <c r="D7" s="150"/>
      <c r="E7" s="186"/>
      <c r="F7" s="187"/>
      <c r="H7" s="626"/>
      <c r="I7" s="627"/>
      <c r="J7" s="627"/>
      <c r="K7" s="627"/>
      <c r="L7" s="627"/>
      <c r="M7" s="628"/>
    </row>
    <row r="8" spans="1:11" ht="12" customHeight="1">
      <c r="A8" s="165"/>
      <c r="C8" s="145" t="s">
        <v>191</v>
      </c>
      <c r="D8" s="151">
        <f>SP1000P100F2100CY</f>
        <v>10284</v>
      </c>
      <c r="E8" s="185">
        <f>SP1000P100F2100</f>
        <v>16192</v>
      </c>
      <c r="F8" s="169">
        <f>IF(D8=0," ",(E8-D8)/D8)</f>
        <v>0.574</v>
      </c>
      <c r="H8" s="162"/>
      <c r="I8" s="162"/>
      <c r="J8" s="162"/>
      <c r="K8" s="162"/>
    </row>
    <row r="9" spans="1:13" ht="12" customHeight="1">
      <c r="A9" s="165"/>
      <c r="C9" s="145" t="s">
        <v>192</v>
      </c>
      <c r="D9" s="148">
        <f>SP1000P100F2200CY</f>
        <v>133966</v>
      </c>
      <c r="E9" s="148">
        <f>SP1000P100F2200</f>
        <v>115532</v>
      </c>
      <c r="F9" s="172">
        <f>IF(D9=0," ",(E9-D9)/D9)</f>
        <v>-0.138</v>
      </c>
      <c r="H9" s="174"/>
      <c r="I9" s="164"/>
      <c r="J9" s="175"/>
      <c r="K9" s="631" t="s">
        <v>61</v>
      </c>
      <c r="L9" s="632"/>
      <c r="M9" s="158" t="s">
        <v>63</v>
      </c>
    </row>
    <row r="10" spans="1:13" ht="12" customHeight="1">
      <c r="A10" s="165"/>
      <c r="C10" s="145" t="s">
        <v>193</v>
      </c>
      <c r="D10" s="148">
        <f>SP1000P100F2300CY</f>
        <v>0</v>
      </c>
      <c r="E10" s="148">
        <f>SP1000P100F2300</f>
        <v>0</v>
      </c>
      <c r="F10" s="168" t="str">
        <f aca="true" t="shared" si="0" ref="F10:F21">IF(D10=0," ",(E10-D10)/D10)</f>
        <v> </v>
      </c>
      <c r="H10" s="176" t="s">
        <v>205</v>
      </c>
      <c r="I10" s="180"/>
      <c r="J10" s="181"/>
      <c r="K10" s="158" t="s">
        <v>243</v>
      </c>
      <c r="L10" s="158" t="s">
        <v>55</v>
      </c>
      <c r="M10" s="166" t="s">
        <v>64</v>
      </c>
    </row>
    <row r="11" spans="1:13" ht="12" customHeight="1">
      <c r="A11" s="165"/>
      <c r="C11" s="145" t="s">
        <v>194</v>
      </c>
      <c r="D11" s="148">
        <f>SP1000P100F2400CY</f>
        <v>101525</v>
      </c>
      <c r="E11" s="148">
        <f>SP1000P100F2400</f>
        <v>206370</v>
      </c>
      <c r="F11" s="168">
        <f t="shared" si="0"/>
        <v>1.033</v>
      </c>
      <c r="H11" s="177"/>
      <c r="I11" s="182"/>
      <c r="J11" s="152"/>
      <c r="K11" s="513">
        <v>2019</v>
      </c>
      <c r="L11" s="513">
        <v>2020</v>
      </c>
      <c r="M11" s="167" t="s">
        <v>65</v>
      </c>
    </row>
    <row r="12" spans="1:13" ht="12" customHeight="1">
      <c r="A12" s="165"/>
      <c r="C12" s="145" t="s">
        <v>195</v>
      </c>
      <c r="D12" s="148">
        <f>SP1000P100F2500CY</f>
        <v>94300</v>
      </c>
      <c r="E12" s="148">
        <f>SP1000P100F2500</f>
        <v>94300</v>
      </c>
      <c r="F12" s="168">
        <f t="shared" si="0"/>
        <v>0</v>
      </c>
      <c r="H12" s="178" t="s">
        <v>262</v>
      </c>
      <c r="I12" s="146"/>
      <c r="J12" s="181"/>
      <c r="K12" s="149">
        <f>'Page 2'!M5</f>
        <v>89500</v>
      </c>
      <c r="L12" s="149">
        <f>'Page 2'!N5</f>
        <v>89518</v>
      </c>
      <c r="M12" s="168">
        <f aca="true" t="shared" si="1" ref="M12:M19">IF(K12=0," ",(L12-K12)/K12)</f>
        <v>0</v>
      </c>
    </row>
    <row r="13" spans="1:13" ht="12" customHeight="1">
      <c r="A13" s="165"/>
      <c r="C13" s="145" t="s">
        <v>196</v>
      </c>
      <c r="D13" s="148">
        <f>SP1000P100F2600CY</f>
        <v>467926</v>
      </c>
      <c r="E13" s="148">
        <f>SP1000P100F2600</f>
        <v>491300</v>
      </c>
      <c r="F13" s="168">
        <f t="shared" si="0"/>
        <v>0.05</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0</v>
      </c>
      <c r="E15" s="148">
        <f>SP1000P100F3000</f>
        <v>0</v>
      </c>
      <c r="F15" s="168" t="str">
        <f t="shared" si="0"/>
        <v> </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0</v>
      </c>
      <c r="E17" s="148">
        <f>SP1000P100F5000</f>
        <v>0</v>
      </c>
      <c r="F17" s="168" t="str">
        <f t="shared" si="0"/>
        <v> </v>
      </c>
      <c r="H17" s="514" t="s">
        <v>496</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33" t="s">
        <v>202</v>
      </c>
      <c r="I19" s="634"/>
      <c r="J19" s="634"/>
      <c r="K19" s="148">
        <f>SUM(K12:K18)</f>
        <v>89500</v>
      </c>
      <c r="L19" s="148">
        <f>SUM(L12:L18)</f>
        <v>89518</v>
      </c>
      <c r="M19" s="171">
        <f t="shared" si="1"/>
        <v>0</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1645407</v>
      </c>
      <c r="E21" s="148">
        <f>SUM(E6:E20)</f>
        <v>1846696</v>
      </c>
      <c r="F21" s="168">
        <f t="shared" si="0"/>
        <v>0.122</v>
      </c>
      <c r="H21" s="616" t="s">
        <v>210</v>
      </c>
      <c r="I21" s="617"/>
      <c r="J21" s="617"/>
      <c r="K21" s="617"/>
      <c r="L21" s="618"/>
      <c r="M21" s="225"/>
    </row>
    <row r="22" spans="1:13" ht="12" customHeight="1">
      <c r="A22" s="165" t="s">
        <v>28</v>
      </c>
      <c r="D22" s="150"/>
      <c r="E22" s="186"/>
      <c r="F22" s="187"/>
      <c r="H22" s="165"/>
      <c r="J22" s="604" t="s">
        <v>61</v>
      </c>
      <c r="K22" s="605"/>
      <c r="L22" s="166" t="s">
        <v>63</v>
      </c>
      <c r="M22" s="225"/>
    </row>
    <row r="23" spans="1:13" ht="12" customHeight="1">
      <c r="A23" s="165"/>
      <c r="B23" s="145" t="s">
        <v>22</v>
      </c>
      <c r="D23" s="153">
        <f>SP1000P200F1000CY</f>
        <v>30682</v>
      </c>
      <c r="E23" s="188">
        <f>SP1000P200F1000</f>
        <v>51659</v>
      </c>
      <c r="F23" s="169">
        <f>IF(D23=0," ",(E23-D23)/D23)</f>
        <v>0.684</v>
      </c>
      <c r="H23" s="165"/>
      <c r="J23" s="159" t="s">
        <v>243</v>
      </c>
      <c r="K23" s="159" t="s">
        <v>55</v>
      </c>
      <c r="L23" s="166" t="s">
        <v>64</v>
      </c>
      <c r="M23" s="225"/>
    </row>
    <row r="24" spans="1:13" ht="12" customHeight="1">
      <c r="A24" s="165"/>
      <c r="B24" s="145" t="s">
        <v>23</v>
      </c>
      <c r="D24" s="154"/>
      <c r="E24" s="154"/>
      <c r="F24" s="172"/>
      <c r="H24" s="179"/>
      <c r="J24" s="513">
        <v>2019</v>
      </c>
      <c r="K24" s="513">
        <v>2020</v>
      </c>
      <c r="L24" s="167" t="s">
        <v>65</v>
      </c>
      <c r="M24" s="225"/>
    </row>
    <row r="25" spans="1:13" ht="12" customHeight="1">
      <c r="A25" s="165"/>
      <c r="C25" s="145" t="s">
        <v>191</v>
      </c>
      <c r="D25" s="149">
        <f>SP1000P200F2100CY</f>
        <v>17314</v>
      </c>
      <c r="E25" s="149">
        <f>SP1000P200F2100</f>
        <v>14684</v>
      </c>
      <c r="F25" s="169">
        <f aca="true" t="shared" si="2" ref="F25:F41">IF(D25=0," ",(E25-D25)/D25)</f>
        <v>-0.152</v>
      </c>
      <c r="H25" s="173" t="s">
        <v>206</v>
      </c>
      <c r="I25" s="155"/>
      <c r="J25" s="149">
        <f>SP1000TotalCY</f>
        <v>1755857</v>
      </c>
      <c r="K25" s="149">
        <f>SP1000Total</f>
        <v>1957164</v>
      </c>
      <c r="L25" s="171">
        <f>IF(J25=0," ",(K25-J25)/J25)</f>
        <v>0.115</v>
      </c>
      <c r="M25" s="225"/>
    </row>
    <row r="26" spans="1:13" ht="12" customHeight="1">
      <c r="A26" s="165"/>
      <c r="C26" s="145" t="s">
        <v>192</v>
      </c>
      <c r="D26" s="149">
        <f>SP1000P200F2200CY</f>
        <v>0</v>
      </c>
      <c r="E26" s="149">
        <f>SP1000P200F2200</f>
        <v>6575</v>
      </c>
      <c r="F26" s="172" t="str">
        <f t="shared" si="2"/>
        <v> </v>
      </c>
      <c r="H26" s="173" t="s">
        <v>203</v>
      </c>
      <c r="I26" s="155"/>
      <c r="J26" s="148">
        <f>SP1000ClassSiteProjCY</f>
        <v>65071</v>
      </c>
      <c r="K26" s="148">
        <f>SP1000ClassSiteProj</f>
        <v>56659</v>
      </c>
      <c r="L26" s="171">
        <f aca="true" t="shared" si="3" ref="L26:L33">IF(J26=0," ",(K26-J26)/J26)</f>
        <v>-0.129</v>
      </c>
      <c r="M26" s="225"/>
    </row>
    <row r="27" spans="1:13" ht="12" customHeight="1">
      <c r="A27" s="165"/>
      <c r="C27" s="145" t="s">
        <v>193</v>
      </c>
      <c r="D27" s="149">
        <f>SP1000P200F2300CY</f>
        <v>0</v>
      </c>
      <c r="E27" s="149">
        <f>SP1000P200F2300</f>
        <v>0</v>
      </c>
      <c r="F27" s="168" t="str">
        <f t="shared" si="2"/>
        <v> </v>
      </c>
      <c r="H27" s="173" t="s">
        <v>212</v>
      </c>
      <c r="I27" s="155"/>
      <c r="J27" s="148">
        <f>SP1000InstrImpProjCY</f>
        <v>13671</v>
      </c>
      <c r="K27" s="148">
        <f>SP1000InstrImpProj</f>
        <v>5427</v>
      </c>
      <c r="L27" s="171">
        <f t="shared" si="3"/>
        <v>-0.603</v>
      </c>
      <c r="M27" s="225"/>
    </row>
    <row r="28" spans="1:13" ht="12" customHeight="1">
      <c r="A28" s="165"/>
      <c r="C28" s="145" t="s">
        <v>194</v>
      </c>
      <c r="D28" s="149">
        <f>SP1000P200F2400CY</f>
        <v>0</v>
      </c>
      <c r="E28" s="149">
        <f>SP1000P200F2400</f>
        <v>0</v>
      </c>
      <c r="F28" s="168" t="str">
        <f t="shared" si="2"/>
        <v> </v>
      </c>
      <c r="H28" s="105" t="s">
        <v>500</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41504</v>
      </c>
      <c r="E30" s="149">
        <f>SP1000P200F2600</f>
        <v>16600</v>
      </c>
      <c r="F30" s="168">
        <f t="shared" si="2"/>
        <v>-0.6</v>
      </c>
      <c r="H30" s="173" t="s">
        <v>207</v>
      </c>
      <c r="I30" s="155"/>
      <c r="J30" s="148">
        <f>TotalFederalProjectsCY</f>
        <v>341408</v>
      </c>
      <c r="K30" s="148">
        <f>TotalFederalProjects</f>
        <v>179245</v>
      </c>
      <c r="L30" s="171">
        <f t="shared" si="3"/>
        <v>-0.475</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2176007</v>
      </c>
      <c r="K33" s="148">
        <f>SUM(K25:K32)</f>
        <v>2198495</v>
      </c>
      <c r="L33" s="171">
        <f t="shared" si="3"/>
        <v>0.01</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89500</v>
      </c>
      <c r="E35" s="161">
        <f>SUM(E23:E34)</f>
        <v>89518</v>
      </c>
      <c r="F35" s="168">
        <f t="shared" si="2"/>
        <v>0</v>
      </c>
      <c r="H35" s="619" t="s">
        <v>326</v>
      </c>
      <c r="I35" s="619"/>
      <c r="J35" s="619"/>
      <c r="K35" s="619"/>
      <c r="L35" s="619"/>
      <c r="M35" s="615">
        <f>IF(L37&lt;1,"Enter Average Salary on the Budget Cover","")</f>
      </c>
      <c r="N35" s="497"/>
    </row>
    <row r="36" spans="1:14" ht="0.75" customHeight="1">
      <c r="A36" s="170" t="s">
        <v>200</v>
      </c>
      <c r="B36" s="147"/>
      <c r="C36" s="152"/>
      <c r="D36" s="149"/>
      <c r="E36" s="149"/>
      <c r="F36" s="169"/>
      <c r="J36" s="236"/>
      <c r="K36" s="236"/>
      <c r="L36" s="236"/>
      <c r="M36" s="615"/>
      <c r="N36" s="497"/>
    </row>
    <row r="37" spans="1:14" ht="12" customHeight="1">
      <c r="A37" s="173" t="s">
        <v>29</v>
      </c>
      <c r="B37" s="155"/>
      <c r="C37" s="156"/>
      <c r="D37" s="148">
        <f>SP1000P400CY</f>
        <v>20950</v>
      </c>
      <c r="E37" s="148">
        <f>SP1000P400</f>
        <v>20950</v>
      </c>
      <c r="F37" s="171">
        <f t="shared" si="2"/>
        <v>0</v>
      </c>
      <c r="H37" s="602" t="s">
        <v>501</v>
      </c>
      <c r="I37" s="602"/>
      <c r="J37" s="602"/>
      <c r="K37" s="602"/>
      <c r="L37" s="252">
        <f>BudgetYearSalary</f>
        <v>41380</v>
      </c>
      <c r="M37" s="615"/>
      <c r="N37" s="497"/>
    </row>
    <row r="38" spans="1:14" ht="12" customHeight="1">
      <c r="A38" s="173" t="s">
        <v>30</v>
      </c>
      <c r="B38" s="155"/>
      <c r="C38" s="156"/>
      <c r="D38" s="148">
        <f>SP1000P530CY</f>
        <v>0</v>
      </c>
      <c r="E38" s="148">
        <f>SP1000P530</f>
        <v>0</v>
      </c>
      <c r="F38" s="171" t="str">
        <f t="shared" si="2"/>
        <v> </v>
      </c>
      <c r="H38" s="602" t="s">
        <v>502</v>
      </c>
      <c r="I38" s="602"/>
      <c r="J38" s="602"/>
      <c r="K38" s="602"/>
      <c r="L38" s="252">
        <f>PriorYearSalary</f>
        <v>39397</v>
      </c>
      <c r="M38" s="615"/>
      <c r="N38" s="497"/>
    </row>
    <row r="39" spans="1:14" ht="12" customHeight="1">
      <c r="A39" s="173" t="s">
        <v>201</v>
      </c>
      <c r="B39" s="155"/>
      <c r="C39" s="156"/>
      <c r="D39" s="148">
        <f>SP1000P540CY</f>
        <v>0</v>
      </c>
      <c r="E39" s="148">
        <f>SP1000P540</f>
        <v>0</v>
      </c>
      <c r="F39" s="171" t="str">
        <f t="shared" si="2"/>
        <v> </v>
      </c>
      <c r="H39" s="602" t="s">
        <v>503</v>
      </c>
      <c r="I39" s="602"/>
      <c r="J39" s="602"/>
      <c r="K39" s="602"/>
      <c r="L39" s="252">
        <f>SalaryIncreaseFromPriorYear</f>
        <v>1983</v>
      </c>
      <c r="M39" s="615"/>
      <c r="N39" s="497"/>
    </row>
    <row r="40" spans="1:14" ht="12" customHeight="1">
      <c r="A40" s="170" t="s">
        <v>213</v>
      </c>
      <c r="B40" s="147"/>
      <c r="C40" s="152"/>
      <c r="D40" s="148">
        <f>SP1000P550CY</f>
        <v>0</v>
      </c>
      <c r="E40" s="148">
        <f>SP1000P550</f>
        <v>0</v>
      </c>
      <c r="F40" s="171" t="str">
        <f t="shared" si="2"/>
        <v> </v>
      </c>
      <c r="H40" s="603" t="s">
        <v>282</v>
      </c>
      <c r="I40" s="603"/>
      <c r="J40" s="603"/>
      <c r="K40" s="603"/>
      <c r="L40" s="257">
        <f>SalaryPercentageIncrease</f>
        <v>0.05</v>
      </c>
      <c r="M40" s="615"/>
      <c r="N40" s="497"/>
    </row>
    <row r="41" spans="1:13" ht="12" customHeight="1">
      <c r="A41" s="170"/>
      <c r="B41" s="147"/>
      <c r="C41" s="152" t="s">
        <v>202</v>
      </c>
      <c r="D41" s="149">
        <f>SUM(D35:D40)+D21</f>
        <v>1755857</v>
      </c>
      <c r="E41" s="149">
        <f>SUM(E35:E40)+E21</f>
        <v>1957164</v>
      </c>
      <c r="F41" s="171">
        <f t="shared" si="2"/>
        <v>0.115</v>
      </c>
      <c r="H41" s="606" t="str">
        <f>IF(AverageSalaryCalculationComment&lt;&gt;"",AverageSalaryCalculationComment,"")</f>
        <v>Comments on average salary calculation (optional):   Teacher salaries do not include Prop 301 performance pay and/or Stipends.</v>
      </c>
      <c r="I41" s="607"/>
      <c r="J41" s="607"/>
      <c r="K41" s="607"/>
      <c r="L41" s="608"/>
      <c r="M41" s="615"/>
    </row>
    <row r="42" spans="4:13" ht="12" customHeight="1">
      <c r="D42" s="224"/>
      <c r="E42" s="224"/>
      <c r="F42" s="225"/>
      <c r="H42" s="609"/>
      <c r="I42" s="610"/>
      <c r="J42" s="610"/>
      <c r="K42" s="610"/>
      <c r="L42" s="611"/>
      <c r="M42" s="615"/>
    </row>
    <row r="43" spans="8:13" ht="12" customHeight="1">
      <c r="H43" s="609"/>
      <c r="I43" s="610"/>
      <c r="J43" s="610"/>
      <c r="K43" s="610"/>
      <c r="L43" s="611"/>
      <c r="M43" s="615"/>
    </row>
    <row r="44" spans="8:13" ht="12" customHeight="1">
      <c r="H44" s="609"/>
      <c r="I44" s="610"/>
      <c r="J44" s="610"/>
      <c r="K44" s="610"/>
      <c r="L44" s="611"/>
      <c r="M44" s="615"/>
    </row>
    <row r="45" spans="8:13" ht="12" customHeight="1">
      <c r="H45" s="612"/>
      <c r="I45" s="613"/>
      <c r="J45" s="613"/>
      <c r="K45" s="613"/>
      <c r="L45" s="614"/>
      <c r="M45" s="615"/>
    </row>
    <row r="46" spans="8:13" ht="12" customHeight="1">
      <c r="H46" s="515" t="s">
        <v>466</v>
      </c>
      <c r="I46" s="516"/>
      <c r="J46" s="516"/>
      <c r="K46" s="516"/>
      <c r="L46" s="517">
        <f>FY18Average</f>
        <v>35451</v>
      </c>
      <c r="M46" s="498"/>
    </row>
    <row r="47" spans="8:13" ht="12" customHeight="1">
      <c r="H47" s="515" t="s">
        <v>467</v>
      </c>
      <c r="I47" s="516"/>
      <c r="J47" s="516"/>
      <c r="K47" s="516"/>
      <c r="L47" s="518">
        <f>IncreaseSinceFY18</f>
        <v>0.167</v>
      </c>
      <c r="M47" s="498"/>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21:L21"/>
    <mergeCell ref="H35:L35"/>
    <mergeCell ref="A1:J1"/>
    <mergeCell ref="H3:M7"/>
    <mergeCell ref="D3:E3"/>
    <mergeCell ref="K9:L9"/>
    <mergeCell ref="H19:J19"/>
    <mergeCell ref="H39:K39"/>
    <mergeCell ref="H40:K40"/>
    <mergeCell ref="J22:K22"/>
    <mergeCell ref="H37:K37"/>
    <mergeCell ref="H41:L45"/>
    <mergeCell ref="M35:M45"/>
    <mergeCell ref="H38:K38"/>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40">
      <selection activeCell="L18" sqref="L18:M18"/>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2" t="s">
        <v>0</v>
      </c>
      <c r="B1" s="292"/>
      <c r="C1" s="292"/>
      <c r="D1" s="292"/>
      <c r="E1" s="481" t="str">
        <f>Cover!D1</f>
        <v>Educational Options Foundation, Inc. </v>
      </c>
      <c r="F1" s="289"/>
      <c r="G1" s="107"/>
      <c r="I1" s="107"/>
      <c r="K1" s="287" t="s">
        <v>1</v>
      </c>
      <c r="L1" s="399" t="str">
        <f>Cover!M1</f>
        <v>Maricopa</v>
      </c>
      <c r="M1" s="398"/>
      <c r="N1" s="288"/>
      <c r="O1" s="287" t="s">
        <v>89</v>
      </c>
      <c r="P1" s="392" t="str">
        <f>CTD</f>
        <v>078558000</v>
      </c>
    </row>
    <row r="5" spans="1:29" ht="15.75">
      <c r="A5" s="457" t="s">
        <v>447</v>
      </c>
      <c r="C5" s="282"/>
      <c r="D5" s="280"/>
      <c r="E5" s="279"/>
      <c r="F5" s="279"/>
      <c r="Q5" s="537"/>
      <c r="R5" s="537"/>
      <c r="S5" s="537"/>
      <c r="T5" s="537"/>
      <c r="U5" s="537"/>
      <c r="V5" s="537"/>
      <c r="W5" s="537"/>
      <c r="X5" s="537"/>
      <c r="Y5" s="537"/>
      <c r="Z5" s="537"/>
      <c r="AA5" s="537"/>
      <c r="AB5" s="537"/>
      <c r="AC5" s="537"/>
    </row>
    <row r="7" spans="1:15" s="453" customFormat="1" ht="46.5" customHeight="1">
      <c r="A7" s="471">
        <f>IF(B8="X","X",IF(B9="x","x",IF(B10="X","X",IF(B11="X","X",""))))</f>
      </c>
      <c r="B7" s="676" t="s">
        <v>446</v>
      </c>
      <c r="C7" s="676"/>
      <c r="D7" s="676"/>
      <c r="E7" s="676"/>
      <c r="F7" s="676"/>
      <c r="G7" s="676"/>
      <c r="H7" s="676"/>
      <c r="I7" s="676"/>
      <c r="J7" s="676"/>
      <c r="K7" s="676"/>
      <c r="L7" s="676"/>
      <c r="M7" s="676"/>
      <c r="N7" s="676"/>
      <c r="O7" s="452"/>
    </row>
    <row r="8" spans="1:15" ht="27" customHeight="1">
      <c r="A8" s="280"/>
      <c r="B8" s="343"/>
      <c r="D8" s="635" t="s">
        <v>382</v>
      </c>
      <c r="E8" s="635"/>
      <c r="F8" s="635"/>
      <c r="G8" s="635"/>
      <c r="H8" s="635"/>
      <c r="I8" s="635"/>
      <c r="J8" s="635"/>
      <c r="K8" s="635"/>
      <c r="L8" s="635"/>
      <c r="M8" s="635"/>
      <c r="N8" s="635"/>
      <c r="O8" s="283"/>
    </row>
    <row r="9" spans="1:15" ht="27.75" customHeight="1" thickBot="1">
      <c r="A9" s="280"/>
      <c r="B9" s="344"/>
      <c r="D9" s="635" t="s">
        <v>383</v>
      </c>
      <c r="E9" s="635"/>
      <c r="F9" s="635"/>
      <c r="G9" s="635"/>
      <c r="H9" s="635"/>
      <c r="I9" s="635"/>
      <c r="J9" s="635"/>
      <c r="K9" s="635"/>
      <c r="L9" s="635"/>
      <c r="M9" s="635"/>
      <c r="N9" s="635"/>
      <c r="O9" s="283"/>
    </row>
    <row r="10" spans="1:15" ht="27.75" customHeight="1" thickBot="1">
      <c r="A10" s="280"/>
      <c r="B10" s="345"/>
      <c r="D10" s="635" t="s">
        <v>384</v>
      </c>
      <c r="E10" s="635"/>
      <c r="F10" s="635"/>
      <c r="G10" s="635"/>
      <c r="H10" s="635"/>
      <c r="I10" s="635"/>
      <c r="J10" s="635"/>
      <c r="K10" s="635"/>
      <c r="L10" s="635"/>
      <c r="M10" s="635"/>
      <c r="N10" s="635"/>
      <c r="O10" s="283"/>
    </row>
    <row r="11" spans="1:15" ht="27.75" customHeight="1" thickBot="1">
      <c r="A11" s="280"/>
      <c r="B11" s="345"/>
      <c r="D11" s="296" t="s">
        <v>385</v>
      </c>
      <c r="E11" s="118"/>
      <c r="F11" s="118"/>
      <c r="G11" s="296"/>
      <c r="H11" s="296"/>
      <c r="I11" s="296"/>
      <c r="J11" s="346"/>
      <c r="K11" s="346"/>
      <c r="L11" s="346"/>
      <c r="M11" s="347"/>
      <c r="N11" s="347"/>
      <c r="O11" s="347"/>
    </row>
    <row r="12" spans="1:15" ht="12.75">
      <c r="A12" s="280"/>
      <c r="B12" s="280"/>
      <c r="C12" s="348"/>
      <c r="D12" s="348"/>
      <c r="E12" s="348"/>
      <c r="F12" s="348"/>
      <c r="G12" s="348"/>
      <c r="H12" s="348"/>
      <c r="I12" s="348"/>
      <c r="J12" s="348"/>
      <c r="K12" s="348"/>
      <c r="L12" s="348"/>
      <c r="M12" s="348"/>
      <c r="N12" s="348"/>
      <c r="O12" s="348"/>
    </row>
    <row r="13" spans="2:5" ht="12.75">
      <c r="B13" s="279" t="s">
        <v>436</v>
      </c>
      <c r="C13" s="279"/>
      <c r="D13" s="279"/>
      <c r="E13" s="279"/>
    </row>
    <row r="14" spans="2:14" ht="80.25" customHeight="1">
      <c r="B14" s="671" t="s">
        <v>504</v>
      </c>
      <c r="C14" s="671"/>
      <c r="D14" s="671"/>
      <c r="E14" s="671"/>
      <c r="F14" s="671"/>
      <c r="G14" s="671"/>
      <c r="H14" s="671"/>
      <c r="I14" s="671"/>
      <c r="J14" s="671"/>
      <c r="K14" s="671"/>
      <c r="L14" s="671"/>
      <c r="M14" s="671"/>
      <c r="N14" s="671"/>
    </row>
    <row r="15" spans="2:14" ht="13.5" customHeight="1">
      <c r="B15" s="459"/>
      <c r="C15" s="459"/>
      <c r="D15" s="459"/>
      <c r="E15" s="459"/>
      <c r="F15" s="459"/>
      <c r="G15" s="459"/>
      <c r="H15" s="459"/>
      <c r="I15" s="459"/>
      <c r="J15" s="459"/>
      <c r="K15" s="459"/>
      <c r="L15" s="459"/>
      <c r="M15" s="459"/>
      <c r="N15" s="459"/>
    </row>
    <row r="16" spans="2:13" ht="12.75">
      <c r="B16" s="648" t="s">
        <v>386</v>
      </c>
      <c r="C16" s="648"/>
      <c r="D16" s="648"/>
      <c r="E16" s="648"/>
      <c r="F16" s="646" t="s">
        <v>331</v>
      </c>
      <c r="G16" s="647"/>
      <c r="H16" s="646" t="s">
        <v>332</v>
      </c>
      <c r="I16" s="654"/>
      <c r="J16" s="647"/>
      <c r="K16" s="649" t="s">
        <v>333</v>
      </c>
      <c r="L16" s="650"/>
      <c r="M16" s="651"/>
    </row>
    <row r="17" spans="2:14" ht="12.75">
      <c r="B17" s="665" t="s">
        <v>345</v>
      </c>
      <c r="C17" s="666"/>
      <c r="D17" s="666"/>
      <c r="E17" s="667"/>
      <c r="F17" s="668"/>
      <c r="G17" s="656"/>
      <c r="H17" s="486"/>
      <c r="I17" s="655"/>
      <c r="J17" s="656"/>
      <c r="K17" s="349"/>
      <c r="L17" s="655">
        <v>110</v>
      </c>
      <c r="M17" s="656"/>
      <c r="N17" s="322"/>
    </row>
    <row r="18" spans="2:14" ht="12.75">
      <c r="B18" s="636" t="s">
        <v>387</v>
      </c>
      <c r="C18" s="637"/>
      <c r="D18" s="637"/>
      <c r="E18" s="638"/>
      <c r="F18" s="309"/>
      <c r="G18" s="310"/>
      <c r="H18" s="295" t="s">
        <v>343</v>
      </c>
      <c r="I18" s="657"/>
      <c r="J18" s="658"/>
      <c r="K18" s="303" t="s">
        <v>343</v>
      </c>
      <c r="L18" s="669">
        <v>462</v>
      </c>
      <c r="M18" s="670"/>
      <c r="N18" s="322"/>
    </row>
    <row r="19" spans="2:13" ht="12.75">
      <c r="B19" s="636" t="s">
        <v>388</v>
      </c>
      <c r="C19" s="637"/>
      <c r="D19" s="637"/>
      <c r="E19" s="638"/>
      <c r="F19" s="309"/>
      <c r="G19" s="310"/>
      <c r="H19" s="295" t="s">
        <v>343</v>
      </c>
      <c r="I19" s="657"/>
      <c r="J19" s="658"/>
      <c r="K19" s="303" t="s">
        <v>343</v>
      </c>
      <c r="L19" s="669">
        <v>38</v>
      </c>
      <c r="M19" s="670"/>
    </row>
    <row r="20" spans="2:13" ht="12.75">
      <c r="B20" s="641" t="s">
        <v>389</v>
      </c>
      <c r="C20" s="642"/>
      <c r="D20" s="642"/>
      <c r="E20" s="643"/>
      <c r="F20" s="105" t="s">
        <v>339</v>
      </c>
      <c r="G20" s="357">
        <f>F17</f>
        <v>0</v>
      </c>
      <c r="H20" s="277" t="s">
        <v>339</v>
      </c>
      <c r="I20" s="644">
        <f>I17+I18+I19</f>
        <v>0</v>
      </c>
      <c r="J20" s="645"/>
      <c r="K20" s="105" t="s">
        <v>339</v>
      </c>
      <c r="L20" s="644">
        <f>L17+L18+L19</f>
        <v>610</v>
      </c>
      <c r="M20" s="645"/>
    </row>
    <row r="22" spans="2:13" ht="12.75">
      <c r="B22" s="279" t="s">
        <v>437</v>
      </c>
      <c r="C22"/>
      <c r="D22"/>
      <c r="E22"/>
      <c r="F22"/>
      <c r="G22"/>
      <c r="H22"/>
      <c r="I22"/>
      <c r="J22"/>
      <c r="K22"/>
      <c r="L22"/>
      <c r="M22"/>
    </row>
    <row r="23" spans="2:14" ht="26.25" customHeight="1">
      <c r="B23" s="671" t="s">
        <v>442</v>
      </c>
      <c r="C23" s="671"/>
      <c r="D23" s="671"/>
      <c r="E23" s="671"/>
      <c r="F23" s="671"/>
      <c r="G23" s="671"/>
      <c r="H23" s="671"/>
      <c r="I23" s="671"/>
      <c r="J23" s="671"/>
      <c r="K23" s="671"/>
      <c r="L23" s="671"/>
      <c r="M23" s="671"/>
      <c r="N23" s="671"/>
    </row>
    <row r="24" spans="2:13" ht="12.75">
      <c r="B24" s="454"/>
      <c r="C24" s="455"/>
      <c r="D24" s="455"/>
      <c r="E24" s="455"/>
      <c r="F24" s="455"/>
      <c r="G24" s="455"/>
      <c r="H24" s="455"/>
      <c r="I24" s="455"/>
      <c r="J24" s="455"/>
      <c r="K24" s="455"/>
      <c r="L24" s="455"/>
      <c r="M24" s="455"/>
    </row>
    <row r="25" spans="2:13" ht="12.75">
      <c r="B25" s="456" t="s">
        <v>386</v>
      </c>
      <c r="C25" s="456"/>
      <c r="D25" s="456"/>
      <c r="E25" s="456"/>
      <c r="F25" s="646" t="s">
        <v>331</v>
      </c>
      <c r="G25" s="647"/>
      <c r="H25" s="646" t="s">
        <v>332</v>
      </c>
      <c r="I25" s="654"/>
      <c r="J25" s="647"/>
      <c r="K25" s="649" t="s">
        <v>333</v>
      </c>
      <c r="L25" s="650"/>
      <c r="M25" s="651"/>
    </row>
    <row r="26" spans="2:16" ht="12.75">
      <c r="B26" s="277" t="s">
        <v>345</v>
      </c>
      <c r="C26" s="104"/>
      <c r="D26" s="358"/>
      <c r="F26" s="351"/>
      <c r="G26" s="487"/>
      <c r="I26" s="659"/>
      <c r="J26" s="660"/>
      <c r="K26" s="277"/>
      <c r="L26" s="659"/>
      <c r="M26" s="660"/>
      <c r="P26" s="107"/>
    </row>
    <row r="27" spans="2:13" ht="12.75">
      <c r="B27" s="105" t="s">
        <v>387</v>
      </c>
      <c r="C27" s="276"/>
      <c r="D27" s="362"/>
      <c r="E27" s="290"/>
      <c r="F27" s="311"/>
      <c r="G27" s="312"/>
      <c r="H27" s="276" t="s">
        <v>343</v>
      </c>
      <c r="I27" s="657"/>
      <c r="J27" s="658"/>
      <c r="K27" s="105" t="s">
        <v>343</v>
      </c>
      <c r="L27" s="669"/>
      <c r="M27" s="670"/>
    </row>
    <row r="28" spans="2:13" ht="12.75">
      <c r="B28" s="105" t="s">
        <v>388</v>
      </c>
      <c r="C28" s="276"/>
      <c r="D28" s="276"/>
      <c r="E28" s="291"/>
      <c r="F28" s="311"/>
      <c r="G28" s="312"/>
      <c r="H28" s="276" t="s">
        <v>343</v>
      </c>
      <c r="I28" s="657"/>
      <c r="J28" s="658"/>
      <c r="K28" s="105" t="s">
        <v>343</v>
      </c>
      <c r="L28" s="669"/>
      <c r="M28" s="670"/>
    </row>
    <row r="29" spans="2:13" ht="12.75">
      <c r="B29" s="277" t="s">
        <v>389</v>
      </c>
      <c r="C29" s="104"/>
      <c r="D29" s="358"/>
      <c r="E29" s="277"/>
      <c r="F29" s="277" t="s">
        <v>339</v>
      </c>
      <c r="G29" s="357">
        <f>G26</f>
        <v>0</v>
      </c>
      <c r="H29" s="105" t="s">
        <v>339</v>
      </c>
      <c r="I29" s="644">
        <f>I26+I27+I28</f>
        <v>0</v>
      </c>
      <c r="J29" s="645"/>
      <c r="K29" s="105" t="s">
        <v>339</v>
      </c>
      <c r="L29" s="661">
        <f>L26+L27+L28</f>
        <v>0</v>
      </c>
      <c r="M29" s="662"/>
    </row>
    <row r="30" ht="12.75">
      <c r="B30" s="299"/>
    </row>
    <row r="31" spans="1:11" ht="12.75">
      <c r="A31" s="364"/>
      <c r="B31" s="364"/>
      <c r="C31" s="301"/>
      <c r="D31" s="301"/>
      <c r="E31" s="300"/>
      <c r="F31" s="300"/>
      <c r="G31" s="301"/>
      <c r="H31" s="301"/>
      <c r="I31" s="365"/>
      <c r="K31" s="365"/>
    </row>
    <row r="32" spans="1:15" ht="15" customHeight="1">
      <c r="A32" s="458" t="s">
        <v>414</v>
      </c>
      <c r="C32" s="279"/>
      <c r="D32" s="279"/>
      <c r="E32" s="279"/>
      <c r="G32" s="328"/>
      <c r="H32" s="328"/>
      <c r="I32" s="328"/>
      <c r="J32" s="328"/>
      <c r="K32" s="328"/>
      <c r="L32" s="328"/>
      <c r="M32" s="328"/>
      <c r="N32" s="328"/>
      <c r="O32" s="328"/>
    </row>
    <row r="33" spans="1:15" ht="12.75" customHeight="1">
      <c r="A33" s="458"/>
      <c r="C33" s="279"/>
      <c r="D33" s="279"/>
      <c r="E33" s="279"/>
      <c r="G33" s="328"/>
      <c r="H33" s="328"/>
      <c r="I33" s="328"/>
      <c r="J33" s="328"/>
      <c r="K33" s="328"/>
      <c r="L33" s="328"/>
      <c r="M33" s="328"/>
      <c r="N33" s="328"/>
      <c r="O33" s="328"/>
    </row>
    <row r="34" spans="1:15" ht="12.75" customHeight="1">
      <c r="A34" s="458"/>
      <c r="B34" s="279" t="s">
        <v>348</v>
      </c>
      <c r="C34" s="279"/>
      <c r="D34" s="279"/>
      <c r="E34" s="279"/>
      <c r="G34" s="328"/>
      <c r="H34" s="328"/>
      <c r="I34" s="328"/>
      <c r="J34" s="328"/>
      <c r="K34" s="328"/>
      <c r="L34" s="328"/>
      <c r="M34" s="328"/>
      <c r="N34" s="328"/>
      <c r="O34" s="328"/>
    </row>
    <row r="35" spans="1:15" ht="134.25" customHeight="1">
      <c r="A35" s="279"/>
      <c r="B35" s="672" t="s">
        <v>522</v>
      </c>
      <c r="C35" s="672"/>
      <c r="D35" s="672"/>
      <c r="E35" s="672"/>
      <c r="F35" s="672"/>
      <c r="G35" s="672"/>
      <c r="H35" s="672"/>
      <c r="I35" s="672"/>
      <c r="J35" s="672"/>
      <c r="K35" s="672"/>
      <c r="L35" s="672"/>
      <c r="M35" s="672"/>
      <c r="N35" s="672"/>
      <c r="O35" s="328"/>
    </row>
    <row r="36" spans="1:15" ht="12.75" customHeight="1">
      <c r="A36" s="279"/>
      <c r="B36" s="451"/>
      <c r="C36" s="451"/>
      <c r="D36" s="451"/>
      <c r="E36" s="451"/>
      <c r="F36" s="451"/>
      <c r="G36" s="451"/>
      <c r="H36" s="451"/>
      <c r="I36" s="451"/>
      <c r="J36" s="451"/>
      <c r="K36" s="451"/>
      <c r="L36" s="451"/>
      <c r="M36" s="451"/>
      <c r="N36" s="451"/>
      <c r="O36" s="328"/>
    </row>
    <row r="37" spans="2:21" ht="51.75" customHeight="1">
      <c r="B37" s="460"/>
      <c r="C37" s="461"/>
      <c r="D37" s="461"/>
      <c r="E37" s="461"/>
      <c r="F37" s="297"/>
      <c r="G37" s="297"/>
      <c r="H37" s="297"/>
      <c r="I37" s="400" t="s">
        <v>345</v>
      </c>
      <c r="J37" s="400" t="s">
        <v>346</v>
      </c>
      <c r="K37" s="652" t="s">
        <v>347</v>
      </c>
      <c r="L37" s="653"/>
      <c r="M37" s="325"/>
      <c r="N37" s="297"/>
      <c r="O37" s="325"/>
      <c r="P37" s="325"/>
      <c r="Q37" s="297"/>
      <c r="R37" s="325"/>
      <c r="S37" s="325"/>
      <c r="U37" s="254"/>
    </row>
    <row r="38" spans="1:19" ht="12.75">
      <c r="A38" s="284"/>
      <c r="B38" s="284">
        <v>1</v>
      </c>
      <c r="C38" s="298" t="s">
        <v>349</v>
      </c>
      <c r="D38" s="297"/>
      <c r="E38" s="297"/>
      <c r="F38" s="297"/>
      <c r="G38" s="297"/>
      <c r="H38" s="297"/>
      <c r="I38" s="437"/>
      <c r="J38" s="436"/>
      <c r="K38" s="639"/>
      <c r="L38" s="640"/>
      <c r="M38" s="435"/>
      <c r="N38" s="329"/>
      <c r="O38" s="367"/>
      <c r="P38" s="435"/>
      <c r="Q38" s="297"/>
      <c r="R38" s="367"/>
      <c r="S38" s="435"/>
    </row>
    <row r="39" spans="1:19" ht="12.75">
      <c r="A39" s="284"/>
      <c r="B39" s="284">
        <v>2</v>
      </c>
      <c r="C39" s="298" t="s">
        <v>350</v>
      </c>
      <c r="D39" s="297"/>
      <c r="E39" s="297"/>
      <c r="F39" s="297"/>
      <c r="G39" s="297"/>
      <c r="H39" s="297"/>
      <c r="I39" s="437"/>
      <c r="J39" s="436"/>
      <c r="K39" s="639"/>
      <c r="L39" s="640"/>
      <c r="M39" s="435"/>
      <c r="N39" s="329"/>
      <c r="O39" s="367"/>
      <c r="P39" s="435"/>
      <c r="Q39" s="297"/>
      <c r="R39" s="367"/>
      <c r="S39" s="435"/>
    </row>
    <row r="40" spans="1:19" ht="12.75">
      <c r="A40" s="284"/>
      <c r="B40" s="284">
        <v>3</v>
      </c>
      <c r="C40" s="298" t="s">
        <v>351</v>
      </c>
      <c r="D40" s="297"/>
      <c r="E40" s="297"/>
      <c r="F40" s="297"/>
      <c r="G40" s="297"/>
      <c r="H40" s="297"/>
      <c r="I40" s="437">
        <v>0.25</v>
      </c>
      <c r="J40" s="436"/>
      <c r="K40" s="639"/>
      <c r="L40" s="640"/>
      <c r="M40" s="435"/>
      <c r="N40" s="329"/>
      <c r="O40" s="367"/>
      <c r="P40" s="435"/>
      <c r="Q40" s="297"/>
      <c r="R40" s="367"/>
      <c r="S40" s="435"/>
    </row>
    <row r="41" spans="1:19" ht="12.75">
      <c r="A41" s="284"/>
      <c r="B41" s="284">
        <v>4</v>
      </c>
      <c r="C41" s="298" t="s">
        <v>352</v>
      </c>
      <c r="D41" s="297"/>
      <c r="E41" s="297"/>
      <c r="F41" s="297"/>
      <c r="G41" s="297"/>
      <c r="H41" s="297"/>
      <c r="I41" s="437"/>
      <c r="J41" s="436"/>
      <c r="K41" s="639"/>
      <c r="L41" s="640"/>
      <c r="M41" s="435"/>
      <c r="N41" s="329"/>
      <c r="O41" s="367"/>
      <c r="P41" s="435"/>
      <c r="Q41" s="297"/>
      <c r="R41" s="367"/>
      <c r="S41" s="435"/>
    </row>
    <row r="42" spans="1:19" ht="12.75">
      <c r="A42" s="284"/>
      <c r="B42" s="284">
        <v>5</v>
      </c>
      <c r="C42" s="298" t="s">
        <v>475</v>
      </c>
      <c r="D42" s="297"/>
      <c r="E42" s="297"/>
      <c r="F42" s="297"/>
      <c r="G42" s="297"/>
      <c r="H42" s="297"/>
      <c r="I42" s="437"/>
      <c r="J42" s="436">
        <v>0.075</v>
      </c>
      <c r="K42" s="639"/>
      <c r="L42" s="640"/>
      <c r="M42" s="435"/>
      <c r="N42" s="329"/>
      <c r="O42" s="367"/>
      <c r="P42" s="435"/>
      <c r="Q42" s="297"/>
      <c r="R42" s="367"/>
      <c r="S42" s="435"/>
    </row>
    <row r="43" spans="1:19" ht="12.75">
      <c r="A43" s="284"/>
      <c r="B43" s="284">
        <v>6</v>
      </c>
      <c r="C43" s="298" t="s">
        <v>476</v>
      </c>
      <c r="D43" s="297"/>
      <c r="E43" s="297"/>
      <c r="F43" s="297"/>
      <c r="G43" s="297"/>
      <c r="H43" s="297"/>
      <c r="I43" s="437"/>
      <c r="J43" s="436"/>
      <c r="K43" s="639"/>
      <c r="L43" s="640"/>
      <c r="M43" s="435"/>
      <c r="N43" s="329"/>
      <c r="O43" s="367"/>
      <c r="P43" s="435"/>
      <c r="Q43" s="297"/>
      <c r="R43" s="367"/>
      <c r="S43" s="435"/>
    </row>
    <row r="44" spans="1:19" ht="12.75">
      <c r="A44" s="284"/>
      <c r="B44" s="284">
        <v>7</v>
      </c>
      <c r="C44" s="298" t="s">
        <v>353</v>
      </c>
      <c r="D44" s="297"/>
      <c r="E44" s="297"/>
      <c r="F44" s="297"/>
      <c r="G44" s="297"/>
      <c r="H44" s="297"/>
      <c r="I44" s="437"/>
      <c r="J44" s="436"/>
      <c r="K44" s="639"/>
      <c r="L44" s="640"/>
      <c r="M44" s="435"/>
      <c r="N44" s="329"/>
      <c r="O44" s="367"/>
      <c r="P44" s="435"/>
      <c r="Q44" s="297"/>
      <c r="R44" s="367"/>
      <c r="S44" s="435"/>
    </row>
    <row r="45" spans="1:19" ht="12.75">
      <c r="A45" s="284"/>
      <c r="B45" s="284">
        <v>8</v>
      </c>
      <c r="C45" s="298" t="s">
        <v>354</v>
      </c>
      <c r="D45" s="297"/>
      <c r="E45" s="297"/>
      <c r="F45" s="297"/>
      <c r="G45" s="297"/>
      <c r="H45" s="297"/>
      <c r="I45" s="437"/>
      <c r="J45" s="436"/>
      <c r="K45" s="639"/>
      <c r="L45" s="640"/>
      <c r="M45" s="435"/>
      <c r="N45" s="329"/>
      <c r="O45" s="367"/>
      <c r="P45" s="435"/>
      <c r="Q45" s="297"/>
      <c r="R45" s="367"/>
      <c r="S45" s="435"/>
    </row>
    <row r="46" spans="1:19" ht="12.75">
      <c r="A46" s="284"/>
      <c r="B46" s="284">
        <v>9</v>
      </c>
      <c r="C46" s="298" t="s">
        <v>355</v>
      </c>
      <c r="D46" s="297"/>
      <c r="E46" s="297"/>
      <c r="F46" s="297"/>
      <c r="G46" s="297"/>
      <c r="H46" s="297"/>
      <c r="I46" s="437"/>
      <c r="J46" s="436"/>
      <c r="K46" s="639"/>
      <c r="L46" s="640"/>
      <c r="M46" s="435"/>
      <c r="N46" s="329"/>
      <c r="O46" s="367"/>
      <c r="P46" s="435"/>
      <c r="Q46" s="297"/>
      <c r="R46" s="367"/>
      <c r="S46" s="435"/>
    </row>
    <row r="47" spans="1:19" ht="12.75">
      <c r="A47" s="284"/>
      <c r="B47" s="284">
        <v>10</v>
      </c>
      <c r="C47" s="298" t="s">
        <v>356</v>
      </c>
      <c r="D47" s="297"/>
      <c r="E47" s="297"/>
      <c r="F47" s="297"/>
      <c r="G47" s="297"/>
      <c r="H47" s="297"/>
      <c r="I47" s="437"/>
      <c r="J47" s="439"/>
      <c r="K47" s="673"/>
      <c r="L47" s="674"/>
      <c r="M47" s="435"/>
      <c r="N47" s="329"/>
      <c r="O47" s="367"/>
      <c r="P47" s="435"/>
      <c r="Q47" s="297"/>
      <c r="R47" s="367"/>
      <c r="S47" s="435"/>
    </row>
    <row r="48" spans="1:19" ht="12.75">
      <c r="A48" s="284"/>
      <c r="B48" s="284">
        <v>11</v>
      </c>
      <c r="C48" s="298" t="s">
        <v>477</v>
      </c>
      <c r="D48" s="297"/>
      <c r="E48" s="297"/>
      <c r="F48" s="297"/>
      <c r="G48" s="297"/>
      <c r="H48" s="297"/>
      <c r="I48" s="437">
        <v>4.06</v>
      </c>
      <c r="J48" s="436">
        <v>36.718</v>
      </c>
      <c r="K48" s="639">
        <v>0.5</v>
      </c>
      <c r="L48" s="640"/>
      <c r="M48" s="435"/>
      <c r="N48" s="329"/>
      <c r="O48" s="367"/>
      <c r="P48" s="435"/>
      <c r="Q48" s="297"/>
      <c r="R48" s="367"/>
      <c r="S48" s="435"/>
    </row>
    <row r="49" spans="1:19" ht="12.75">
      <c r="A49" s="284"/>
      <c r="B49" s="284">
        <v>12</v>
      </c>
      <c r="C49" s="298" t="s">
        <v>357</v>
      </c>
      <c r="D49" s="297"/>
      <c r="E49" s="297"/>
      <c r="F49" s="297"/>
      <c r="G49" s="297"/>
      <c r="H49" s="297"/>
      <c r="I49" s="437"/>
      <c r="J49" s="436"/>
      <c r="K49" s="639"/>
      <c r="L49" s="640"/>
      <c r="M49" s="435"/>
      <c r="N49" s="329"/>
      <c r="O49" s="367"/>
      <c r="P49" s="435"/>
      <c r="Q49" s="297"/>
      <c r="R49" s="367"/>
      <c r="S49" s="435"/>
    </row>
    <row r="50" spans="1:19" ht="12.75">
      <c r="A50" s="284"/>
      <c r="B50" s="284">
        <v>13</v>
      </c>
      <c r="C50" s="298" t="s">
        <v>358</v>
      </c>
      <c r="D50" s="297"/>
      <c r="E50" s="297"/>
      <c r="F50" s="297"/>
      <c r="G50" s="297"/>
      <c r="H50" s="297"/>
      <c r="I50" s="437"/>
      <c r="J50" s="436"/>
      <c r="K50" s="639"/>
      <c r="L50" s="640"/>
      <c r="M50" s="435"/>
      <c r="N50" s="329"/>
      <c r="O50" s="367"/>
      <c r="P50" s="435"/>
      <c r="Q50" s="297"/>
      <c r="R50" s="367"/>
      <c r="S50" s="435"/>
    </row>
    <row r="51" spans="1:19" ht="12.75">
      <c r="A51" s="284"/>
      <c r="B51" s="284">
        <v>14</v>
      </c>
      <c r="C51" s="298" t="s">
        <v>359</v>
      </c>
      <c r="D51" s="297"/>
      <c r="E51" s="297"/>
      <c r="F51" s="297"/>
      <c r="G51" s="297"/>
      <c r="H51" s="297"/>
      <c r="I51" s="437"/>
      <c r="J51" s="436"/>
      <c r="K51" s="639"/>
      <c r="L51" s="640"/>
      <c r="M51" s="435"/>
      <c r="N51" s="329"/>
      <c r="O51" s="367"/>
      <c r="P51" s="435"/>
      <c r="Q51" s="297"/>
      <c r="R51" s="367"/>
      <c r="S51" s="435"/>
    </row>
    <row r="52" spans="1:19" ht="12.75">
      <c r="A52" s="284"/>
      <c r="B52" s="284">
        <v>15</v>
      </c>
      <c r="C52" s="297" t="s">
        <v>439</v>
      </c>
      <c r="D52" s="297"/>
      <c r="E52" s="297"/>
      <c r="F52" s="297"/>
      <c r="G52" s="297"/>
      <c r="H52" s="297"/>
      <c r="I52" s="438">
        <f>SUM(I38:I51)</f>
        <v>4.31</v>
      </c>
      <c r="J52" s="430">
        <f>SUM(J38:J51)</f>
        <v>36.793</v>
      </c>
      <c r="K52" s="663">
        <f>SUM(K38:K51)</f>
        <v>0.5</v>
      </c>
      <c r="L52" s="664"/>
      <c r="M52" s="435"/>
      <c r="N52" s="329"/>
      <c r="O52" s="329"/>
      <c r="P52" s="435"/>
      <c r="Q52" s="297"/>
      <c r="R52" s="435"/>
      <c r="S52" s="435"/>
    </row>
    <row r="53" spans="1:19" ht="12.75">
      <c r="A53" s="284"/>
      <c r="B53" s="284" t="s">
        <v>468</v>
      </c>
      <c r="C53" s="297"/>
      <c r="D53" s="297"/>
      <c r="E53" s="297"/>
      <c r="F53" s="297"/>
      <c r="G53" s="297"/>
      <c r="H53" s="297"/>
      <c r="I53" s="499"/>
      <c r="J53" s="500"/>
      <c r="K53" s="501"/>
      <c r="L53" s="501"/>
      <c r="M53" s="435"/>
      <c r="N53" s="329"/>
      <c r="O53" s="329"/>
      <c r="P53" s="435"/>
      <c r="Q53" s="297"/>
      <c r="R53" s="435"/>
      <c r="S53" s="435"/>
    </row>
    <row r="54" spans="1:19" ht="14.25" customHeight="1">
      <c r="A54" s="284"/>
      <c r="B54" s="502" t="s">
        <v>472</v>
      </c>
      <c r="C54" s="298" t="s">
        <v>469</v>
      </c>
      <c r="D54" s="298"/>
      <c r="E54" s="298"/>
      <c r="F54" s="298"/>
      <c r="G54" s="298"/>
      <c r="H54" s="298"/>
      <c r="I54" s="503"/>
      <c r="J54" s="504"/>
      <c r="K54" s="505"/>
      <c r="L54" s="505"/>
      <c r="M54" s="506"/>
      <c r="N54" s="507"/>
      <c r="O54" s="329"/>
      <c r="P54" s="435"/>
      <c r="Q54" s="297"/>
      <c r="R54" s="435"/>
      <c r="S54" s="435"/>
    </row>
    <row r="55" spans="1:19" ht="14.25" customHeight="1">
      <c r="A55" s="284"/>
      <c r="B55" s="502" t="s">
        <v>473</v>
      </c>
      <c r="C55" s="298" t="s">
        <v>470</v>
      </c>
      <c r="D55" s="298"/>
      <c r="E55" s="298"/>
      <c r="F55" s="298"/>
      <c r="G55" s="298"/>
      <c r="H55" s="298"/>
      <c r="I55" s="503"/>
      <c r="J55" s="504"/>
      <c r="K55" s="505"/>
      <c r="L55" s="505"/>
      <c r="M55" s="506"/>
      <c r="N55" s="507"/>
      <c r="O55" s="329"/>
      <c r="P55" s="435"/>
      <c r="Q55" s="297"/>
      <c r="R55" s="435"/>
      <c r="S55" s="435"/>
    </row>
    <row r="56" spans="1:19" ht="12.75">
      <c r="A56" s="284"/>
      <c r="B56" s="502" t="s">
        <v>474</v>
      </c>
      <c r="C56" s="675" t="s">
        <v>471</v>
      </c>
      <c r="D56" s="675"/>
      <c r="E56" s="675"/>
      <c r="F56" s="675"/>
      <c r="G56" s="675"/>
      <c r="H56" s="675"/>
      <c r="I56" s="675"/>
      <c r="J56" s="675"/>
      <c r="K56" s="675"/>
      <c r="L56" s="675"/>
      <c r="M56" s="675"/>
      <c r="N56" s="675"/>
      <c r="O56" s="329"/>
      <c r="P56" s="435"/>
      <c r="Q56" s="297"/>
      <c r="R56" s="435"/>
      <c r="S56" s="435"/>
    </row>
    <row r="57" spans="1:19" ht="12.75">
      <c r="A57" s="284"/>
      <c r="B57" s="508"/>
      <c r="C57" s="675"/>
      <c r="D57" s="675"/>
      <c r="E57" s="675"/>
      <c r="F57" s="675"/>
      <c r="G57" s="675"/>
      <c r="H57" s="675"/>
      <c r="I57" s="675"/>
      <c r="J57" s="675"/>
      <c r="K57" s="675"/>
      <c r="L57" s="675"/>
      <c r="M57" s="675"/>
      <c r="N57" s="675"/>
      <c r="O57" s="329"/>
      <c r="P57" s="435"/>
      <c r="Q57" s="297"/>
      <c r="R57" s="435"/>
      <c r="S57" s="435"/>
    </row>
    <row r="59" spans="1:6" ht="15.75">
      <c r="A59" s="458" t="s">
        <v>415</v>
      </c>
      <c r="C59" s="279"/>
      <c r="D59" s="279"/>
      <c r="E59" s="279"/>
      <c r="F59" s="279"/>
    </row>
    <row r="60" ht="13.5" thickBot="1"/>
    <row r="61" spans="2:16" ht="13.5" thickBot="1">
      <c r="B61" s="326">
        <v>1</v>
      </c>
      <c r="C61" s="368"/>
      <c r="D61" s="544" t="s">
        <v>450</v>
      </c>
      <c r="E61" s="545"/>
      <c r="F61" s="545"/>
      <c r="G61" s="545"/>
      <c r="H61" s="545"/>
      <c r="I61" s="545"/>
      <c r="J61" s="545"/>
      <c r="K61" s="545"/>
      <c r="L61" s="545"/>
      <c r="M61" s="265"/>
      <c r="N61" s="470"/>
      <c r="O61" s="369"/>
      <c r="P61" s="369"/>
    </row>
    <row r="62" spans="2:14" ht="72" customHeight="1">
      <c r="B62" s="326"/>
      <c r="C62" s="671" t="s">
        <v>505</v>
      </c>
      <c r="D62" s="671"/>
      <c r="E62" s="671"/>
      <c r="F62" s="671"/>
      <c r="G62" s="671"/>
      <c r="H62" s="671"/>
      <c r="I62" s="671"/>
      <c r="J62" s="671"/>
      <c r="M62" s="265"/>
      <c r="N62" s="470"/>
    </row>
    <row r="63" spans="2:14" ht="12.75">
      <c r="B63" s="326"/>
      <c r="C63" s="256"/>
      <c r="D63" s="256"/>
      <c r="E63" s="256"/>
      <c r="F63" s="256"/>
      <c r="G63" s="256"/>
      <c r="H63" s="256"/>
      <c r="M63" s="265"/>
      <c r="N63" s="470"/>
    </row>
    <row r="64" spans="2:14" ht="12.75">
      <c r="B64" s="326">
        <v>2</v>
      </c>
      <c r="C64" t="s">
        <v>394</v>
      </c>
      <c r="D64"/>
      <c r="E64"/>
      <c r="F64"/>
      <c r="G64"/>
      <c r="H64"/>
      <c r="M64" s="265" t="s">
        <v>4</v>
      </c>
      <c r="N64" s="397"/>
    </row>
    <row r="65" spans="2:14" ht="138" customHeight="1">
      <c r="B65" s="326"/>
      <c r="C65" s="671" t="s">
        <v>448</v>
      </c>
      <c r="D65" s="671"/>
      <c r="E65" s="671"/>
      <c r="F65" s="671"/>
      <c r="G65" s="671"/>
      <c r="H65" s="671"/>
      <c r="I65" s="671"/>
      <c r="J65" s="671"/>
      <c r="M65" s="265"/>
      <c r="N65" s="470"/>
    </row>
    <row r="66" spans="2:14" ht="165" customHeight="1">
      <c r="B66" s="326"/>
      <c r="C66" s="671" t="s">
        <v>451</v>
      </c>
      <c r="D66" s="671"/>
      <c r="E66" s="671"/>
      <c r="F66" s="671"/>
      <c r="G66" s="671"/>
      <c r="H66" s="671"/>
      <c r="I66" s="671"/>
      <c r="J66" s="671"/>
      <c r="K66" s="459"/>
      <c r="L66" s="459"/>
      <c r="M66" s="265"/>
      <c r="N66" s="470"/>
    </row>
    <row r="67" spans="2:14" ht="12.75">
      <c r="B67" s="326"/>
      <c r="C67" s="256"/>
      <c r="D67" s="256"/>
      <c r="E67" s="256"/>
      <c r="F67" s="256"/>
      <c r="G67" s="256"/>
      <c r="H67" s="256"/>
      <c r="M67" s="265"/>
      <c r="N67" s="470"/>
    </row>
    <row r="68" spans="2:14" ht="12.75">
      <c r="B68" s="326">
        <v>3</v>
      </c>
      <c r="C68" s="85" t="s">
        <v>506</v>
      </c>
      <c r="D68"/>
      <c r="E68"/>
      <c r="F68"/>
      <c r="M68" s="265" t="s">
        <v>4</v>
      </c>
      <c r="N68" s="397">
        <v>15000</v>
      </c>
    </row>
    <row r="69" spans="2:14" ht="92.25" customHeight="1">
      <c r="B69" s="326"/>
      <c r="C69" s="671" t="s">
        <v>507</v>
      </c>
      <c r="D69" s="671"/>
      <c r="E69" s="671"/>
      <c r="F69" s="671"/>
      <c r="G69" s="671"/>
      <c r="H69" s="671"/>
      <c r="I69" s="671"/>
      <c r="J69" s="671"/>
      <c r="M69" s="265"/>
      <c r="N69" s="470"/>
    </row>
    <row r="70" spans="2:14" ht="12.75">
      <c r="B70" s="326"/>
      <c r="C70" s="256"/>
      <c r="D70" s="256"/>
      <c r="E70" s="256"/>
      <c r="F70" s="256"/>
      <c r="M70" s="265"/>
      <c r="N70" s="470"/>
    </row>
    <row r="71" spans="2:14" ht="12.75">
      <c r="B71" s="327">
        <v>4</v>
      </c>
      <c r="C71" s="85" t="s">
        <v>508</v>
      </c>
      <c r="D71"/>
      <c r="E71"/>
      <c r="M71" s="265" t="s">
        <v>4</v>
      </c>
      <c r="N71" s="397"/>
    </row>
    <row r="72" spans="3:10" ht="53.25" customHeight="1">
      <c r="C72" s="672" t="s">
        <v>509</v>
      </c>
      <c r="D72" s="672"/>
      <c r="E72" s="672"/>
      <c r="F72" s="672"/>
      <c r="G72" s="672"/>
      <c r="H72" s="672"/>
      <c r="I72" s="672"/>
      <c r="J72" s="672"/>
    </row>
    <row r="73" spans="3:10" ht="12.75">
      <c r="C73" s="283"/>
      <c r="D73" s="283"/>
      <c r="E73" s="283"/>
      <c r="F73" s="283"/>
      <c r="G73" s="283"/>
      <c r="H73" s="283"/>
      <c r="I73" s="283"/>
      <c r="J73" s="283"/>
    </row>
    <row r="74" spans="1:5" ht="15.75">
      <c r="A74" s="458" t="s">
        <v>416</v>
      </c>
      <c r="C74" s="279"/>
      <c r="D74" s="279"/>
      <c r="E74" s="279"/>
    </row>
    <row r="76" spans="2:14" ht="12.75">
      <c r="B76" s="326">
        <v>1</v>
      </c>
      <c r="C76" t="s">
        <v>441</v>
      </c>
      <c r="D76"/>
      <c r="E76"/>
      <c r="F76"/>
      <c r="G76"/>
      <c r="M76" s="347"/>
      <c r="N76" s="525">
        <v>0.00052</v>
      </c>
    </row>
    <row r="77" spans="3:10" ht="57" customHeight="1">
      <c r="C77" s="672" t="s">
        <v>454</v>
      </c>
      <c r="D77" s="672"/>
      <c r="E77" s="672"/>
      <c r="F77" s="672"/>
      <c r="G77" s="672"/>
      <c r="H77" s="672"/>
      <c r="I77" s="672"/>
      <c r="J77" s="672"/>
    </row>
    <row r="78" spans="3:10" ht="12.75">
      <c r="C78" s="462"/>
      <c r="D78" s="462"/>
      <c r="E78" s="462"/>
      <c r="F78" s="462"/>
      <c r="G78" s="462"/>
      <c r="H78" s="462"/>
      <c r="I78" s="462"/>
      <c r="J78" s="462"/>
    </row>
  </sheetData>
  <sheetProtection formatColumns="0" formatRows="0"/>
  <mergeCells count="60">
    <mergeCell ref="C77:J77"/>
    <mergeCell ref="B7:N7"/>
    <mergeCell ref="B23:N23"/>
    <mergeCell ref="B14:N14"/>
    <mergeCell ref="B35:N35"/>
    <mergeCell ref="C62:J62"/>
    <mergeCell ref="C65:J65"/>
    <mergeCell ref="L26:M26"/>
    <mergeCell ref="L27:M27"/>
    <mergeCell ref="L28:M28"/>
    <mergeCell ref="C66:J66"/>
    <mergeCell ref="C69:J69"/>
    <mergeCell ref="C72:J72"/>
    <mergeCell ref="K39:L39"/>
    <mergeCell ref="K43:L43"/>
    <mergeCell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 ref="L19:M19"/>
    <mergeCell ref="I18:J18"/>
    <mergeCell ref="I26:J26"/>
    <mergeCell ref="L29:M29"/>
    <mergeCell ref="K46:L46"/>
    <mergeCell ref="K38:L38"/>
    <mergeCell ref="D61:L61"/>
    <mergeCell ref="K41:L41"/>
    <mergeCell ref="K52:L52"/>
    <mergeCell ref="K44:L44"/>
    <mergeCell ref="K45:L45"/>
    <mergeCell ref="F16:G16"/>
    <mergeCell ref="B16:E16"/>
    <mergeCell ref="K42:L42"/>
    <mergeCell ref="K16:M16"/>
    <mergeCell ref="I29:J29"/>
    <mergeCell ref="K37:L37"/>
    <mergeCell ref="H16:J16"/>
    <mergeCell ref="H25:J25"/>
    <mergeCell ref="K25:M25"/>
    <mergeCell ref="I17:J17"/>
    <mergeCell ref="D10:N10"/>
    <mergeCell ref="B18:E18"/>
    <mergeCell ref="K48:L48"/>
    <mergeCell ref="K49:L49"/>
    <mergeCell ref="Q5:AC5"/>
    <mergeCell ref="B20:E20"/>
    <mergeCell ref="L20:M20"/>
    <mergeCell ref="I20:J20"/>
    <mergeCell ref="D8:N8"/>
    <mergeCell ref="D9:N9"/>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25">
      <selection activeCell="N87" sqref="N87"/>
    </sheetView>
  </sheetViews>
  <sheetFormatPr defaultColWidth="11.140625" defaultRowHeight="12.75"/>
  <cols>
    <col min="1" max="1" width="3.421875" style="275" customWidth="1"/>
    <col min="2" max="2" width="2.421875" style="275" customWidth="1"/>
    <col min="3" max="3" width="3.8515625" style="275" customWidth="1"/>
    <col min="4" max="4" width="4.28125" style="275" customWidth="1"/>
    <col min="5" max="5" width="7.7109375" style="275" customWidth="1"/>
    <col min="6" max="7" width="11.140625" style="275" customWidth="1"/>
    <col min="8" max="8" width="11.7109375" style="275" customWidth="1"/>
    <col min="9" max="9" width="11.57421875" style="275" customWidth="1"/>
    <col min="10" max="10" width="12.7109375" style="275" customWidth="1"/>
    <col min="11" max="11" width="2.7109375" style="275" customWidth="1"/>
    <col min="12" max="12" width="14.00390625" style="275" customWidth="1"/>
    <col min="13" max="13" width="1.57421875" style="275" customWidth="1"/>
    <col min="14" max="14" width="14.00390625" style="275" bestFit="1" customWidth="1"/>
    <col min="15" max="15" width="11.140625" style="275" customWidth="1"/>
    <col min="16" max="16" width="7.57421875" style="275" customWidth="1"/>
    <col min="17" max="18" width="11.140625" style="275" customWidth="1"/>
    <col min="19" max="19" width="7.28125" style="275" customWidth="1"/>
    <col min="20" max="22" width="11.140625" style="275" customWidth="1"/>
    <col min="23" max="23" width="7.28125" style="275" customWidth="1"/>
    <col min="24" max="26" width="11.140625" style="275" customWidth="1"/>
    <col min="27" max="27" width="7.28125" style="275" customWidth="1"/>
    <col min="28" max="16384" width="11.140625" style="275" customWidth="1"/>
  </cols>
  <sheetData>
    <row r="1" spans="1:15" ht="15.75" customHeight="1">
      <c r="A1" s="682" t="s">
        <v>455</v>
      </c>
      <c r="B1" s="682"/>
      <c r="C1" s="682"/>
      <c r="D1" s="682"/>
      <c r="E1" s="683" t="str">
        <f>Cover!D1</f>
        <v>Educational Options Foundation, Inc. </v>
      </c>
      <c r="F1" s="684"/>
      <c r="G1" s="684"/>
      <c r="H1" s="315" t="s">
        <v>330</v>
      </c>
      <c r="I1" s="480" t="str">
        <f>Cover!M1</f>
        <v>Maricopa</v>
      </c>
      <c r="J1" s="682" t="s">
        <v>190</v>
      </c>
      <c r="K1" s="682"/>
      <c r="L1" s="678" t="str">
        <f>Cover!R1</f>
        <v>078558000</v>
      </c>
      <c r="M1" s="679"/>
      <c r="N1" s="315"/>
      <c r="O1" s="317"/>
    </row>
    <row r="2" spans="1:15" ht="15.75" customHeight="1">
      <c r="A2" s="315"/>
      <c r="B2" s="315"/>
      <c r="C2" s="315"/>
      <c r="D2" s="315"/>
      <c r="E2" s="406"/>
      <c r="F2" s="406"/>
      <c r="G2" s="406"/>
      <c r="H2" s="315"/>
      <c r="I2" s="406"/>
      <c r="J2" s="315"/>
      <c r="K2" s="315"/>
      <c r="L2" s="317"/>
      <c r="M2" s="317"/>
      <c r="N2" s="315"/>
      <c r="O2" s="317"/>
    </row>
    <row r="3" spans="1:15" ht="15.75" customHeight="1">
      <c r="A3" s="315"/>
      <c r="B3" s="315"/>
      <c r="C3" s="315"/>
      <c r="D3" s="315"/>
      <c r="E3" s="406"/>
      <c r="F3" s="406"/>
      <c r="G3" s="406"/>
      <c r="H3" s="315"/>
      <c r="I3" s="406"/>
      <c r="J3" s="315"/>
      <c r="K3" s="315"/>
      <c r="L3" s="317"/>
      <c r="M3" s="317"/>
      <c r="N3" s="315"/>
      <c r="O3" s="317"/>
    </row>
    <row r="4" spans="1:15" ht="15.75" customHeight="1">
      <c r="A4" s="315"/>
      <c r="B4" s="315"/>
      <c r="C4" s="315"/>
      <c r="D4" s="315"/>
      <c r="E4" s="406"/>
      <c r="F4" s="406"/>
      <c r="G4" s="406"/>
      <c r="H4" s="315"/>
      <c r="I4" s="406"/>
      <c r="J4" s="315"/>
      <c r="K4" s="315"/>
      <c r="L4" s="317"/>
      <c r="M4" s="317"/>
      <c r="N4" s="315"/>
      <c r="O4" s="317"/>
    </row>
    <row r="5" spans="1:15" ht="15.75" customHeight="1">
      <c r="A5" s="281" t="s">
        <v>458</v>
      </c>
      <c r="B5" s="315"/>
      <c r="C5" s="107"/>
      <c r="D5" s="107"/>
      <c r="E5" s="107"/>
      <c r="F5" s="107"/>
      <c r="G5" s="107"/>
      <c r="H5" s="107"/>
      <c r="I5" s="406"/>
      <c r="J5" s="315"/>
      <c r="K5" s="315"/>
      <c r="L5" s="317"/>
      <c r="M5" s="317"/>
      <c r="N5" s="315"/>
      <c r="O5" s="317"/>
    </row>
    <row r="6" spans="1:15" ht="15.75" customHeight="1">
      <c r="A6" s="281"/>
      <c r="B6" s="315"/>
      <c r="C6" s="448" t="s">
        <v>395</v>
      </c>
      <c r="D6" s="463"/>
      <c r="E6" s="463"/>
      <c r="F6" s="463"/>
      <c r="G6" s="463"/>
      <c r="H6" s="463"/>
      <c r="I6" s="467"/>
      <c r="J6" s="468"/>
      <c r="K6" s="468"/>
      <c r="L6" s="469"/>
      <c r="M6" s="469"/>
      <c r="N6" s="468"/>
      <c r="O6" s="317"/>
    </row>
    <row r="7" spans="1:15" ht="15.75" customHeight="1" thickBot="1">
      <c r="A7" s="315"/>
      <c r="B7" s="315"/>
      <c r="C7" s="413" t="s">
        <v>435</v>
      </c>
      <c r="D7" s="413"/>
      <c r="E7" s="410"/>
      <c r="F7" s="410"/>
      <c r="G7" s="410"/>
      <c r="H7" s="410"/>
      <c r="I7" s="414"/>
      <c r="J7" s="415"/>
      <c r="K7" s="421"/>
      <c r="L7" s="479" t="s">
        <v>332</v>
      </c>
      <c r="M7" s="416"/>
      <c r="N7" s="417" t="s">
        <v>333</v>
      </c>
      <c r="O7" s="317"/>
    </row>
    <row r="8" spans="1:15" ht="15.75" customHeight="1" thickTop="1">
      <c r="A8" s="315"/>
      <c r="B8" s="315"/>
      <c r="C8" s="351" t="s">
        <v>390</v>
      </c>
      <c r="D8" s="85"/>
      <c r="E8" s="85"/>
      <c r="F8" s="293"/>
      <c r="G8" s="293"/>
      <c r="H8" s="293"/>
      <c r="I8" s="406"/>
      <c r="J8" s="315"/>
      <c r="K8" s="420"/>
      <c r="L8" s="85"/>
      <c r="M8" s="351"/>
      <c r="N8" s="419"/>
      <c r="O8" s="317"/>
    </row>
    <row r="9" spans="1:15" ht="15.75" customHeight="1" thickBot="1">
      <c r="A9" s="315"/>
      <c r="B9" s="315"/>
      <c r="C9" s="366"/>
      <c r="D9" s="307" t="s">
        <v>334</v>
      </c>
      <c r="E9" s="307"/>
      <c r="F9" s="307"/>
      <c r="G9" s="307"/>
      <c r="H9" s="307"/>
      <c r="I9" s="411"/>
      <c r="J9" s="412"/>
      <c r="K9" s="418"/>
      <c r="L9" s="472">
        <v>1.399</v>
      </c>
      <c r="M9" s="306"/>
      <c r="N9" s="354">
        <v>1.559</v>
      </c>
      <c r="O9" s="317"/>
    </row>
    <row r="10" spans="1:15" ht="15.75" customHeight="1" thickTop="1">
      <c r="A10" s="315"/>
      <c r="B10" s="315"/>
      <c r="C10" s="350" t="s">
        <v>335</v>
      </c>
      <c r="D10" s="85"/>
      <c r="E10" s="85"/>
      <c r="F10" s="285"/>
      <c r="G10" s="285"/>
      <c r="H10" s="285"/>
      <c r="I10" s="406"/>
      <c r="J10" s="315"/>
      <c r="K10" s="294"/>
      <c r="L10" s="107"/>
      <c r="M10" s="351"/>
      <c r="N10" s="353"/>
      <c r="O10" s="317"/>
    </row>
    <row r="11" spans="1:15" ht="15.75" customHeight="1">
      <c r="A11" s="315"/>
      <c r="B11" s="315"/>
      <c r="C11" s="351"/>
      <c r="D11" s="85" t="s">
        <v>336</v>
      </c>
      <c r="E11" s="85"/>
      <c r="F11" s="85"/>
      <c r="G11" s="85"/>
      <c r="H11" s="85"/>
      <c r="I11" s="406"/>
      <c r="J11" s="315"/>
      <c r="K11" s="277"/>
      <c r="L11" s="477">
        <v>500</v>
      </c>
      <c r="M11" s="355"/>
      <c r="N11" s="407">
        <v>500</v>
      </c>
      <c r="O11" s="317"/>
    </row>
    <row r="12" spans="1:15" ht="15.75" customHeight="1">
      <c r="A12" s="315"/>
      <c r="B12" s="315"/>
      <c r="C12" s="351"/>
      <c r="D12" s="85" t="s">
        <v>366</v>
      </c>
      <c r="E12" s="85"/>
      <c r="F12" s="85"/>
      <c r="G12" s="85"/>
      <c r="H12" s="85"/>
      <c r="I12" s="406"/>
      <c r="J12" s="315"/>
      <c r="K12" s="277" t="s">
        <v>337</v>
      </c>
      <c r="L12" s="473">
        <f>IF('Data Entry'!I20&gt;99.999,IF('Data Entry'!I20&lt;500,'Data Entry'!I20,0),0)</f>
        <v>0</v>
      </c>
      <c r="M12" s="277" t="s">
        <v>337</v>
      </c>
      <c r="N12" s="358">
        <f>IF('Data Entry'!L20&gt;99.999,IF('Data Entry'!L20&lt;500,'Data Entry'!L20,0),0)</f>
        <v>0</v>
      </c>
      <c r="O12" s="317"/>
    </row>
    <row r="13" spans="1:15" ht="15.75" customHeight="1">
      <c r="A13" s="315"/>
      <c r="B13" s="315"/>
      <c r="C13" s="351"/>
      <c r="D13" s="85" t="s">
        <v>338</v>
      </c>
      <c r="E13" s="85"/>
      <c r="F13" s="85"/>
      <c r="G13" s="85"/>
      <c r="H13" s="85"/>
      <c r="I13" s="406"/>
      <c r="J13" s="315"/>
      <c r="K13" s="105" t="s">
        <v>339</v>
      </c>
      <c r="L13" s="476">
        <f>IF(L12&gt;0,ROUND(+L11-L12,3),0)</f>
        <v>0</v>
      </c>
      <c r="M13" s="304" t="s">
        <v>339</v>
      </c>
      <c r="N13" s="359">
        <f>IF(N12&gt;0,ROUND(+N11-N12,3),0)</f>
        <v>0</v>
      </c>
      <c r="O13" s="317"/>
    </row>
    <row r="14" spans="1:15" ht="15.75" customHeight="1">
      <c r="A14" s="315"/>
      <c r="B14" s="315"/>
      <c r="C14" s="351"/>
      <c r="D14" s="85" t="s">
        <v>340</v>
      </c>
      <c r="E14" s="85"/>
      <c r="F14" s="85"/>
      <c r="G14" s="85"/>
      <c r="H14" s="85"/>
      <c r="I14" s="406"/>
      <c r="J14" s="315"/>
      <c r="K14" s="105" t="s">
        <v>341</v>
      </c>
      <c r="L14" s="473">
        <v>0.0003</v>
      </c>
      <c r="M14" s="105" t="s">
        <v>341</v>
      </c>
      <c r="N14" s="358">
        <v>0.0004</v>
      </c>
      <c r="O14" s="317"/>
    </row>
    <row r="15" spans="1:15" ht="15.75" customHeight="1">
      <c r="A15" s="315"/>
      <c r="B15" s="315"/>
      <c r="C15" s="351"/>
      <c r="D15" s="85" t="s">
        <v>342</v>
      </c>
      <c r="E15" s="85"/>
      <c r="F15" s="85"/>
      <c r="G15" s="85"/>
      <c r="H15" s="85"/>
      <c r="I15" s="406"/>
      <c r="J15" s="315"/>
      <c r="K15" s="105" t="s">
        <v>339</v>
      </c>
      <c r="L15" s="473">
        <f>IF(L12&gt;0,ROUND(L13*L14,3),0)</f>
        <v>0</v>
      </c>
      <c r="M15" s="277" t="s">
        <v>339</v>
      </c>
      <c r="N15" s="358">
        <f>IF(N12&gt;0,ROUND(N13*N14,3),0)</f>
        <v>0</v>
      </c>
      <c r="O15" s="317"/>
    </row>
    <row r="16" spans="1:15" ht="15.75" customHeight="1">
      <c r="A16" s="315"/>
      <c r="B16" s="315"/>
      <c r="C16" s="351"/>
      <c r="D16" s="85" t="s">
        <v>391</v>
      </c>
      <c r="E16" s="85"/>
      <c r="F16" s="85"/>
      <c r="G16" s="85"/>
      <c r="H16" s="85"/>
      <c r="I16" s="406"/>
      <c r="J16" s="315"/>
      <c r="K16" s="105" t="s">
        <v>343</v>
      </c>
      <c r="L16" s="473">
        <v>1.278</v>
      </c>
      <c r="M16" s="105" t="s">
        <v>343</v>
      </c>
      <c r="N16" s="358">
        <v>1.398</v>
      </c>
      <c r="O16" s="317"/>
    </row>
    <row r="17" spans="1:15" ht="15.75" customHeight="1" thickBot="1">
      <c r="A17" s="315"/>
      <c r="B17" s="315"/>
      <c r="C17" s="366"/>
      <c r="D17" s="307" t="s">
        <v>392</v>
      </c>
      <c r="E17" s="307"/>
      <c r="F17" s="307"/>
      <c r="G17" s="307"/>
      <c r="H17" s="307"/>
      <c r="I17" s="411"/>
      <c r="J17" s="412"/>
      <c r="K17" s="305" t="s">
        <v>339</v>
      </c>
      <c r="L17" s="474">
        <f>IF(L12&gt;0,ROUND(+L15+L16,3),0)</f>
        <v>0</v>
      </c>
      <c r="M17" s="306" t="s">
        <v>339</v>
      </c>
      <c r="N17" s="360">
        <f>IF(N12&gt;0,ROUND(+N15+N16,3),0)</f>
        <v>0</v>
      </c>
      <c r="O17" s="317"/>
    </row>
    <row r="18" spans="1:15" ht="15.75" customHeight="1" thickTop="1">
      <c r="A18" s="315"/>
      <c r="B18" s="315"/>
      <c r="C18" s="350" t="s">
        <v>344</v>
      </c>
      <c r="D18" s="85"/>
      <c r="E18" s="85"/>
      <c r="F18" s="285"/>
      <c r="G18" s="285"/>
      <c r="H18" s="285"/>
      <c r="I18" s="406"/>
      <c r="J18" s="315"/>
      <c r="K18" s="294"/>
      <c r="L18" s="85"/>
      <c r="M18" s="351"/>
      <c r="N18" s="353"/>
      <c r="O18" s="317"/>
    </row>
    <row r="19" spans="1:15" ht="15.75" customHeight="1">
      <c r="A19" s="315"/>
      <c r="B19" s="315"/>
      <c r="C19" s="351"/>
      <c r="D19" s="85" t="s">
        <v>336</v>
      </c>
      <c r="E19" s="85"/>
      <c r="F19" s="85"/>
      <c r="G19" s="85"/>
      <c r="H19" s="85"/>
      <c r="I19" s="406"/>
      <c r="J19" s="315"/>
      <c r="K19" s="351"/>
      <c r="L19" s="478">
        <v>600</v>
      </c>
      <c r="M19" s="355"/>
      <c r="N19" s="361">
        <v>600</v>
      </c>
      <c r="O19" s="317"/>
    </row>
    <row r="20" spans="1:15" ht="15.75" customHeight="1">
      <c r="A20" s="315"/>
      <c r="B20" s="315"/>
      <c r="C20" s="351"/>
      <c r="D20" s="85" t="s">
        <v>366</v>
      </c>
      <c r="E20" s="85"/>
      <c r="F20" s="85"/>
      <c r="G20" s="85"/>
      <c r="H20" s="85"/>
      <c r="I20" s="406"/>
      <c r="J20" s="315"/>
      <c r="K20" s="321" t="s">
        <v>337</v>
      </c>
      <c r="L20" s="473">
        <f>IF('Data Entry'!I20&gt;499.999,IF('Data Entry'!I20&lt;600,'Data Entry'!I20,0),0)</f>
        <v>0</v>
      </c>
      <c r="M20" s="277" t="s">
        <v>337</v>
      </c>
      <c r="N20" s="358">
        <f>IF('Data Entry'!L20&gt;499.999,IF('Data Entry'!L20&lt;600,'Data Entry'!L20,0),0)</f>
        <v>0</v>
      </c>
      <c r="O20" s="317"/>
    </row>
    <row r="21" spans="1:15" ht="15.75" customHeight="1">
      <c r="A21" s="315"/>
      <c r="B21" s="315"/>
      <c r="C21" s="351"/>
      <c r="D21" s="85" t="s">
        <v>338</v>
      </c>
      <c r="E21" s="85"/>
      <c r="F21" s="85"/>
      <c r="G21" s="85"/>
      <c r="H21" s="85"/>
      <c r="I21" s="406"/>
      <c r="J21" s="315"/>
      <c r="K21" s="409" t="s">
        <v>339</v>
      </c>
      <c r="L21" s="476">
        <f>IF(L20&gt;0,ROUND(+L19-L20,3),0)</f>
        <v>0</v>
      </c>
      <c r="M21" s="304" t="s">
        <v>339</v>
      </c>
      <c r="N21" s="359">
        <f>IF(N20&gt;0,ROUND(+N19-N20,3),0)</f>
        <v>0</v>
      </c>
      <c r="O21" s="317"/>
    </row>
    <row r="22" spans="1:15" ht="15.75" customHeight="1">
      <c r="A22" s="315"/>
      <c r="B22" s="315"/>
      <c r="C22" s="351"/>
      <c r="D22" s="85" t="s">
        <v>340</v>
      </c>
      <c r="E22" s="85"/>
      <c r="F22" s="85"/>
      <c r="G22" s="85"/>
      <c r="H22" s="85"/>
      <c r="I22" s="406"/>
      <c r="J22" s="315"/>
      <c r="K22" s="321" t="s">
        <v>341</v>
      </c>
      <c r="L22" s="473">
        <v>0.0012</v>
      </c>
      <c r="M22" s="105" t="s">
        <v>341</v>
      </c>
      <c r="N22" s="358">
        <v>0.0013</v>
      </c>
      <c r="O22" s="317"/>
    </row>
    <row r="23" spans="1:15" ht="15.75" customHeight="1">
      <c r="A23" s="315"/>
      <c r="B23" s="315"/>
      <c r="C23" s="351"/>
      <c r="D23" s="85" t="s">
        <v>342</v>
      </c>
      <c r="E23" s="85"/>
      <c r="F23" s="85"/>
      <c r="G23" s="85"/>
      <c r="H23" s="85"/>
      <c r="I23" s="406"/>
      <c r="J23" s="315"/>
      <c r="K23" s="409" t="s">
        <v>339</v>
      </c>
      <c r="L23" s="473">
        <f>IF(L20&gt;0,ROUND(L21*L22,3),0)</f>
        <v>0</v>
      </c>
      <c r="M23" s="277" t="s">
        <v>339</v>
      </c>
      <c r="N23" s="358">
        <f>IF(N20&gt;0,ROUND(N21*N22,3),0)</f>
        <v>0</v>
      </c>
      <c r="O23" s="317"/>
    </row>
    <row r="24" spans="1:15" ht="15.75" customHeight="1">
      <c r="A24" s="315"/>
      <c r="B24" s="315"/>
      <c r="C24" s="351"/>
      <c r="D24" s="85" t="s">
        <v>391</v>
      </c>
      <c r="E24" s="85"/>
      <c r="F24" s="85"/>
      <c r="G24" s="85"/>
      <c r="H24" s="85"/>
      <c r="I24" s="406"/>
      <c r="J24" s="315"/>
      <c r="K24" s="321" t="s">
        <v>343</v>
      </c>
      <c r="L24" s="473">
        <v>1.158</v>
      </c>
      <c r="M24" s="277" t="s">
        <v>343</v>
      </c>
      <c r="N24" s="358">
        <v>1.268</v>
      </c>
      <c r="O24" s="317"/>
    </row>
    <row r="25" spans="1:15" ht="15.75" customHeight="1" thickBot="1">
      <c r="A25" s="315"/>
      <c r="B25" s="315"/>
      <c r="C25" s="366"/>
      <c r="D25" s="307" t="s">
        <v>392</v>
      </c>
      <c r="E25" s="307"/>
      <c r="F25" s="307"/>
      <c r="G25" s="307"/>
      <c r="H25" s="307"/>
      <c r="I25" s="411"/>
      <c r="J25" s="412"/>
      <c r="K25" s="324" t="s">
        <v>339</v>
      </c>
      <c r="L25" s="474">
        <f>IF(L20&gt;0,ROUND(+L23+L24,3),0)</f>
        <v>0</v>
      </c>
      <c r="M25" s="305" t="s">
        <v>339</v>
      </c>
      <c r="N25" s="354">
        <f>IF(N20&gt;0,ROUND(+N23+N24,3),0)</f>
        <v>0</v>
      </c>
      <c r="O25" s="317"/>
    </row>
    <row r="26" spans="1:15" ht="15.75" customHeight="1" thickTop="1">
      <c r="A26" s="315"/>
      <c r="B26" s="315"/>
      <c r="C26" s="350" t="s">
        <v>393</v>
      </c>
      <c r="D26" s="85"/>
      <c r="E26" s="85"/>
      <c r="F26" s="286"/>
      <c r="G26" s="286"/>
      <c r="H26" s="285"/>
      <c r="I26" s="406"/>
      <c r="J26" s="315"/>
      <c r="K26" s="294"/>
      <c r="L26" s="352"/>
      <c r="M26" s="350"/>
      <c r="N26" s="353"/>
      <c r="O26" s="317"/>
    </row>
    <row r="27" spans="1:15" ht="15.75" customHeight="1" thickBot="1">
      <c r="A27" s="315"/>
      <c r="B27" s="315"/>
      <c r="C27" s="278"/>
      <c r="D27" s="307" t="s">
        <v>392</v>
      </c>
      <c r="E27" s="307"/>
      <c r="F27" s="307"/>
      <c r="G27" s="307"/>
      <c r="H27" s="307"/>
      <c r="I27" s="411"/>
      <c r="J27" s="412"/>
      <c r="K27" s="306"/>
      <c r="L27" s="472">
        <v>1.158</v>
      </c>
      <c r="M27" s="306"/>
      <c r="N27" s="354">
        <v>1.268</v>
      </c>
      <c r="O27" s="317"/>
    </row>
    <row r="28" spans="1:15" ht="15.75" customHeight="1" thickTop="1">
      <c r="A28" s="315"/>
      <c r="B28" s="315"/>
      <c r="C28" s="299"/>
      <c r="D28" s="85"/>
      <c r="E28" s="85"/>
      <c r="F28" s="85"/>
      <c r="G28" s="85"/>
      <c r="H28" s="85"/>
      <c r="I28" s="406"/>
      <c r="J28" s="315"/>
      <c r="K28" s="85"/>
      <c r="L28" s="85"/>
      <c r="M28" s="85"/>
      <c r="N28" s="85"/>
      <c r="O28" s="317"/>
    </row>
    <row r="29" spans="1:15" ht="15.75" customHeight="1">
      <c r="A29" s="315"/>
      <c r="B29" s="315"/>
      <c r="C29" s="299"/>
      <c r="D29" s="85"/>
      <c r="E29" s="85"/>
      <c r="F29" s="85"/>
      <c r="G29" s="85"/>
      <c r="H29" s="85"/>
      <c r="I29" s="406"/>
      <c r="J29" s="315"/>
      <c r="K29" s="85"/>
      <c r="L29" s="85"/>
      <c r="M29" s="85"/>
      <c r="N29" s="85"/>
      <c r="O29" s="317"/>
    </row>
    <row r="30" spans="1:15" ht="15.75" customHeight="1">
      <c r="A30" s="315"/>
      <c r="B30" s="315"/>
      <c r="C30" s="299"/>
      <c r="D30" s="85"/>
      <c r="E30" s="85"/>
      <c r="F30" s="85"/>
      <c r="G30" s="85"/>
      <c r="H30" s="85"/>
      <c r="I30" s="406"/>
      <c r="J30" s="315"/>
      <c r="K30" s="85"/>
      <c r="L30" s="85"/>
      <c r="M30" s="85"/>
      <c r="N30" s="85"/>
      <c r="O30" s="317"/>
    </row>
    <row r="31" spans="1:15" ht="15.75" customHeight="1">
      <c r="A31" s="315"/>
      <c r="B31" s="315"/>
      <c r="C31" s="448" t="s">
        <v>438</v>
      </c>
      <c r="D31" s="448"/>
      <c r="E31" s="448"/>
      <c r="F31" s="448"/>
      <c r="G31" s="448"/>
      <c r="H31" s="448"/>
      <c r="I31" s="464"/>
      <c r="J31" s="447"/>
      <c r="K31" s="448"/>
      <c r="L31" s="448"/>
      <c r="M31" s="448"/>
      <c r="N31" s="448"/>
      <c r="O31" s="465"/>
    </row>
    <row r="32" spans="1:15" ht="15.75" customHeight="1" thickBot="1">
      <c r="A32" s="315"/>
      <c r="B32" s="315"/>
      <c r="C32" s="413" t="s">
        <v>435</v>
      </c>
      <c r="D32" s="413"/>
      <c r="E32" s="410"/>
      <c r="F32" s="410"/>
      <c r="G32" s="410"/>
      <c r="H32" s="410"/>
      <c r="I32" s="414"/>
      <c r="J32" s="415"/>
      <c r="K32" s="421"/>
      <c r="L32" s="479" t="s">
        <v>332</v>
      </c>
      <c r="M32" s="422"/>
      <c r="N32" s="417" t="s">
        <v>333</v>
      </c>
      <c r="O32" s="317"/>
    </row>
    <row r="33" spans="1:15" ht="15.75" customHeight="1" thickTop="1">
      <c r="A33" s="315"/>
      <c r="B33" s="315"/>
      <c r="C33" s="351" t="s">
        <v>390</v>
      </c>
      <c r="D33" s="85"/>
      <c r="E33" s="85"/>
      <c r="F33" s="293"/>
      <c r="G33" s="293"/>
      <c r="H33" s="293"/>
      <c r="I33" s="406"/>
      <c r="J33" s="315"/>
      <c r="K33" s="351"/>
      <c r="L33" s="85"/>
      <c r="M33" s="351"/>
      <c r="N33" s="353"/>
      <c r="O33" s="317"/>
    </row>
    <row r="34" spans="1:15" ht="15.75" customHeight="1" thickBot="1">
      <c r="A34" s="315"/>
      <c r="B34" s="315"/>
      <c r="C34" s="366"/>
      <c r="D34" s="307" t="s">
        <v>334</v>
      </c>
      <c r="E34" s="307"/>
      <c r="F34" s="307"/>
      <c r="G34" s="307"/>
      <c r="H34" s="307"/>
      <c r="I34" s="411"/>
      <c r="J34" s="412"/>
      <c r="K34" s="306"/>
      <c r="L34" s="472">
        <v>1.399</v>
      </c>
      <c r="M34" s="306"/>
      <c r="N34" s="354">
        <v>1.559</v>
      </c>
      <c r="O34" s="317"/>
    </row>
    <row r="35" spans="1:15" ht="15.75" customHeight="1" thickTop="1">
      <c r="A35" s="315"/>
      <c r="B35" s="315"/>
      <c r="C35" s="350" t="s">
        <v>335</v>
      </c>
      <c r="D35" s="85"/>
      <c r="E35" s="85"/>
      <c r="F35" s="285"/>
      <c r="G35" s="285"/>
      <c r="H35" s="285"/>
      <c r="I35" s="406"/>
      <c r="J35" s="315"/>
      <c r="K35" s="363"/>
      <c r="L35" s="107"/>
      <c r="M35" s="351"/>
      <c r="N35" s="353"/>
      <c r="O35" s="317"/>
    </row>
    <row r="36" spans="1:15" ht="15.75" customHeight="1">
      <c r="A36" s="315"/>
      <c r="B36" s="315"/>
      <c r="C36" s="351"/>
      <c r="D36" s="85" t="s">
        <v>336</v>
      </c>
      <c r="E36" s="85"/>
      <c r="F36" s="85"/>
      <c r="G36" s="85"/>
      <c r="H36" s="85"/>
      <c r="I36" s="406"/>
      <c r="J36" s="315"/>
      <c r="K36" s="323"/>
      <c r="L36" s="475">
        <v>500</v>
      </c>
      <c r="M36" s="277"/>
      <c r="N36" s="361">
        <v>500</v>
      </c>
      <c r="O36" s="317"/>
    </row>
    <row r="37" spans="1:15" ht="15.75" customHeight="1">
      <c r="A37" s="315"/>
      <c r="B37" s="315"/>
      <c r="C37" s="351"/>
      <c r="D37" s="85" t="s">
        <v>366</v>
      </c>
      <c r="E37" s="85"/>
      <c r="F37" s="85"/>
      <c r="G37" s="85"/>
      <c r="H37" s="85"/>
      <c r="I37" s="406"/>
      <c r="J37" s="315"/>
      <c r="K37" s="323" t="s">
        <v>337</v>
      </c>
      <c r="L37" s="473">
        <f>IF('Data Entry'!I29&gt;99.999,IF('Data Entry'!I29&lt;500,'Data Entry'!I29,0),0)</f>
        <v>0</v>
      </c>
      <c r="M37" s="323" t="s">
        <v>337</v>
      </c>
      <c r="N37" s="358">
        <f>IF('Data Entry'!L29&gt;99.999,IF('Data Entry'!L29&lt;500,'Data Entry'!L29,0),0)</f>
        <v>0</v>
      </c>
      <c r="O37" s="317"/>
    </row>
    <row r="38" spans="1:15" ht="15.75" customHeight="1">
      <c r="A38" s="315"/>
      <c r="B38" s="315"/>
      <c r="C38" s="351"/>
      <c r="D38" s="85" t="s">
        <v>338</v>
      </c>
      <c r="E38" s="85"/>
      <c r="F38" s="85"/>
      <c r="G38" s="85"/>
      <c r="H38" s="85"/>
      <c r="I38" s="406"/>
      <c r="J38" s="315"/>
      <c r="K38" s="323" t="s">
        <v>339</v>
      </c>
      <c r="L38" s="476">
        <f>IF(L37&gt;0,ROUND(+L36-L37,3),0)</f>
        <v>0</v>
      </c>
      <c r="M38" s="323" t="s">
        <v>339</v>
      </c>
      <c r="N38" s="359">
        <f>IF(N37&gt;0,ROUND(+N36-N37,3),0)</f>
        <v>0</v>
      </c>
      <c r="O38" s="317"/>
    </row>
    <row r="39" spans="1:15" ht="15.75" customHeight="1">
      <c r="A39" s="315"/>
      <c r="B39" s="315"/>
      <c r="C39" s="351"/>
      <c r="D39" s="85" t="s">
        <v>340</v>
      </c>
      <c r="E39" s="85"/>
      <c r="F39" s="85"/>
      <c r="G39" s="85"/>
      <c r="H39" s="85"/>
      <c r="I39" s="406"/>
      <c r="J39" s="315"/>
      <c r="K39" s="323" t="s">
        <v>341</v>
      </c>
      <c r="L39" s="473">
        <v>0.0003</v>
      </c>
      <c r="M39" s="323" t="s">
        <v>341</v>
      </c>
      <c r="N39" s="358">
        <v>0.0004</v>
      </c>
      <c r="O39" s="317"/>
    </row>
    <row r="40" spans="1:15" ht="15.75" customHeight="1">
      <c r="A40" s="315"/>
      <c r="B40" s="315"/>
      <c r="C40" s="351"/>
      <c r="D40" s="85" t="s">
        <v>342</v>
      </c>
      <c r="E40" s="85"/>
      <c r="F40" s="85"/>
      <c r="G40" s="85"/>
      <c r="H40" s="85"/>
      <c r="I40" s="406"/>
      <c r="J40" s="315"/>
      <c r="K40" s="323" t="s">
        <v>339</v>
      </c>
      <c r="L40" s="473">
        <f>IF(L37&gt;0,ROUND(L38*L39,3),0)</f>
        <v>0</v>
      </c>
      <c r="M40" s="323" t="s">
        <v>339</v>
      </c>
      <c r="N40" s="358">
        <f>IF(N37&gt;0,ROUND(N38*N39,3),0)</f>
        <v>0</v>
      </c>
      <c r="O40" s="317"/>
    </row>
    <row r="41" spans="1:15" ht="15.75" customHeight="1">
      <c r="A41" s="315"/>
      <c r="B41" s="315"/>
      <c r="C41" s="351"/>
      <c r="D41" s="85" t="s">
        <v>391</v>
      </c>
      <c r="E41" s="85"/>
      <c r="F41" s="85"/>
      <c r="G41" s="85"/>
      <c r="H41" s="85"/>
      <c r="I41" s="406"/>
      <c r="J41" s="315"/>
      <c r="K41" s="323" t="s">
        <v>343</v>
      </c>
      <c r="L41" s="473">
        <v>1.278</v>
      </c>
      <c r="M41" s="323" t="s">
        <v>343</v>
      </c>
      <c r="N41" s="358">
        <v>1.398</v>
      </c>
      <c r="O41" s="317"/>
    </row>
    <row r="42" spans="1:15" ht="15.75" customHeight="1" thickBot="1">
      <c r="A42" s="315"/>
      <c r="B42" s="315"/>
      <c r="C42" s="366"/>
      <c r="D42" s="307" t="s">
        <v>392</v>
      </c>
      <c r="E42" s="307"/>
      <c r="F42" s="307"/>
      <c r="G42" s="307"/>
      <c r="H42" s="307"/>
      <c r="I42" s="411"/>
      <c r="J42" s="412"/>
      <c r="K42" s="324" t="s">
        <v>339</v>
      </c>
      <c r="L42" s="474">
        <f>IF(L37&gt;0,ROUND(+L40+L41,3),0)</f>
        <v>0</v>
      </c>
      <c r="M42" s="324" t="s">
        <v>339</v>
      </c>
      <c r="N42" s="354">
        <f>IF(N37&gt;0,ROUND(+N40+N41,3),0)</f>
        <v>0</v>
      </c>
      <c r="O42" s="317"/>
    </row>
    <row r="43" spans="1:15" ht="15.75" customHeight="1" thickTop="1">
      <c r="A43" s="315"/>
      <c r="B43" s="315"/>
      <c r="C43" s="350" t="s">
        <v>344</v>
      </c>
      <c r="D43" s="85"/>
      <c r="E43" s="85"/>
      <c r="F43" s="285"/>
      <c r="G43" s="285"/>
      <c r="H43" s="285"/>
      <c r="I43" s="406"/>
      <c r="J43" s="315"/>
      <c r="K43" s="294"/>
      <c r="L43" s="107"/>
      <c r="M43" s="351"/>
      <c r="N43" s="353"/>
      <c r="O43" s="317"/>
    </row>
    <row r="44" spans="1:15" ht="15.75" customHeight="1">
      <c r="A44" s="315"/>
      <c r="B44" s="315"/>
      <c r="C44" s="351"/>
      <c r="D44" s="85" t="s">
        <v>336</v>
      </c>
      <c r="E44" s="85"/>
      <c r="F44" s="85"/>
      <c r="G44" s="85"/>
      <c r="H44" s="85"/>
      <c r="I44" s="406"/>
      <c r="J44" s="315"/>
      <c r="K44" s="323"/>
      <c r="L44" s="475">
        <v>600</v>
      </c>
      <c r="M44" s="277"/>
      <c r="N44" s="361">
        <v>600</v>
      </c>
      <c r="O44" s="317"/>
    </row>
    <row r="45" spans="1:15" ht="15.75" customHeight="1">
      <c r="A45" s="315"/>
      <c r="B45" s="315"/>
      <c r="C45" s="351"/>
      <c r="D45" s="85" t="s">
        <v>366</v>
      </c>
      <c r="E45" s="85"/>
      <c r="F45" s="85"/>
      <c r="G45" s="85"/>
      <c r="H45" s="85"/>
      <c r="I45" s="406"/>
      <c r="J45" s="315"/>
      <c r="K45" s="323" t="s">
        <v>337</v>
      </c>
      <c r="L45" s="473">
        <f>IF('Data Entry'!I29&gt;499.999,IF('Data Entry'!I29&lt;600,'Data Entry'!I29,0),0)</f>
        <v>0</v>
      </c>
      <c r="M45" s="323" t="s">
        <v>337</v>
      </c>
      <c r="N45" s="358">
        <f>IF('Data Entry'!L29&gt;499.999,IF('Data Entry'!L29&lt;600,'Data Entry'!L29,0),0)</f>
        <v>0</v>
      </c>
      <c r="O45" s="317"/>
    </row>
    <row r="46" spans="1:15" ht="15.75" customHeight="1">
      <c r="A46" s="315"/>
      <c r="B46" s="315"/>
      <c r="C46" s="351"/>
      <c r="D46" s="85" t="s">
        <v>338</v>
      </c>
      <c r="E46" s="85"/>
      <c r="F46" s="85"/>
      <c r="G46" s="85"/>
      <c r="H46" s="85"/>
      <c r="I46" s="406"/>
      <c r="J46" s="315"/>
      <c r="K46" s="323" t="s">
        <v>339</v>
      </c>
      <c r="L46" s="476">
        <f>IF(L45&gt;0,ROUND(+L44-L45,3),0)</f>
        <v>0</v>
      </c>
      <c r="M46" s="323" t="s">
        <v>339</v>
      </c>
      <c r="N46" s="359">
        <f>IF(N45&gt;0,ROUND(+N44-N45,3),0)</f>
        <v>0</v>
      </c>
      <c r="O46" s="317"/>
    </row>
    <row r="47" spans="1:15" ht="15.75" customHeight="1">
      <c r="A47" s="315"/>
      <c r="B47" s="315"/>
      <c r="C47" s="351"/>
      <c r="D47" s="85" t="s">
        <v>340</v>
      </c>
      <c r="E47" s="85"/>
      <c r="F47" s="85"/>
      <c r="G47" s="85"/>
      <c r="H47" s="85"/>
      <c r="I47" s="406"/>
      <c r="J47" s="315"/>
      <c r="K47" s="323" t="s">
        <v>341</v>
      </c>
      <c r="L47" s="473">
        <v>0.0012</v>
      </c>
      <c r="M47" s="323" t="s">
        <v>341</v>
      </c>
      <c r="N47" s="358">
        <v>0.0013</v>
      </c>
      <c r="O47" s="317"/>
    </row>
    <row r="48" spans="1:15" ht="15.75" customHeight="1">
      <c r="A48" s="315"/>
      <c r="B48" s="315"/>
      <c r="C48" s="351"/>
      <c r="D48" s="85" t="s">
        <v>342</v>
      </c>
      <c r="E48" s="85"/>
      <c r="F48" s="85"/>
      <c r="G48" s="85"/>
      <c r="H48" s="85"/>
      <c r="I48" s="406"/>
      <c r="J48" s="315"/>
      <c r="K48" s="323" t="s">
        <v>339</v>
      </c>
      <c r="L48" s="473">
        <f>IF(L45&gt;0,ROUND(L46*L47,3),0)</f>
        <v>0</v>
      </c>
      <c r="M48" s="323" t="s">
        <v>339</v>
      </c>
      <c r="N48" s="358">
        <f>IF(N45&gt;0,ROUND(N46*N47,3),0)</f>
        <v>0</v>
      </c>
      <c r="O48" s="317"/>
    </row>
    <row r="49" spans="1:15" ht="15.75" customHeight="1">
      <c r="A49" s="315"/>
      <c r="B49" s="315"/>
      <c r="C49" s="351"/>
      <c r="D49" s="85" t="s">
        <v>391</v>
      </c>
      <c r="E49" s="85"/>
      <c r="F49" s="85"/>
      <c r="G49" s="85"/>
      <c r="H49" s="85"/>
      <c r="I49" s="406"/>
      <c r="J49" s="315"/>
      <c r="K49" s="323" t="s">
        <v>343</v>
      </c>
      <c r="L49" s="473">
        <v>1.158</v>
      </c>
      <c r="M49" s="323" t="s">
        <v>343</v>
      </c>
      <c r="N49" s="358">
        <v>1.268</v>
      </c>
      <c r="O49" s="317"/>
    </row>
    <row r="50" spans="1:15" ht="15.75" customHeight="1" thickBot="1">
      <c r="A50" s="315"/>
      <c r="B50" s="315"/>
      <c r="C50" s="366"/>
      <c r="D50" s="307" t="s">
        <v>392</v>
      </c>
      <c r="E50" s="307"/>
      <c r="F50" s="307"/>
      <c r="G50" s="307"/>
      <c r="H50" s="307"/>
      <c r="I50" s="411"/>
      <c r="J50" s="412"/>
      <c r="K50" s="324" t="s">
        <v>339</v>
      </c>
      <c r="L50" s="474">
        <f>IF(L45&gt;0,ROUND(+L48+L49,3),0)</f>
        <v>0</v>
      </c>
      <c r="M50" s="324" t="s">
        <v>339</v>
      </c>
      <c r="N50" s="354">
        <f>IF(N45&gt;0,ROUND(+N48+N49,3),0)</f>
        <v>0</v>
      </c>
      <c r="O50" s="317"/>
    </row>
    <row r="51" spans="1:15" ht="15.75" customHeight="1" thickTop="1">
      <c r="A51" s="315"/>
      <c r="B51" s="315"/>
      <c r="C51" s="350" t="s">
        <v>393</v>
      </c>
      <c r="D51" s="85"/>
      <c r="E51" s="85"/>
      <c r="F51" s="286"/>
      <c r="G51" s="286"/>
      <c r="H51" s="285"/>
      <c r="I51" s="406"/>
      <c r="J51" s="315"/>
      <c r="K51" s="294"/>
      <c r="L51" s="85"/>
      <c r="M51" s="351"/>
      <c r="N51" s="353"/>
      <c r="O51" s="317"/>
    </row>
    <row r="52" spans="1:15" ht="15.75" customHeight="1" thickBot="1">
      <c r="A52" s="315"/>
      <c r="B52" s="315"/>
      <c r="C52" s="278"/>
      <c r="D52" s="307" t="s">
        <v>392</v>
      </c>
      <c r="E52" s="307"/>
      <c r="F52" s="307"/>
      <c r="G52" s="307"/>
      <c r="H52" s="307"/>
      <c r="I52" s="411"/>
      <c r="J52" s="412"/>
      <c r="K52" s="306"/>
      <c r="L52" s="472">
        <v>1.158</v>
      </c>
      <c r="M52" s="423"/>
      <c r="N52" s="354">
        <v>1.268</v>
      </c>
      <c r="O52" s="317"/>
    </row>
    <row r="53" spans="1:15" ht="15.75" customHeight="1" thickTop="1">
      <c r="A53" s="315"/>
      <c r="B53" s="315"/>
      <c r="C53" s="315"/>
      <c r="D53" s="315"/>
      <c r="E53" s="406"/>
      <c r="F53" s="406"/>
      <c r="G53" s="406"/>
      <c r="H53" s="315"/>
      <c r="I53" s="406"/>
      <c r="J53" s="315"/>
      <c r="K53" s="315"/>
      <c r="L53" s="317"/>
      <c r="M53" s="317"/>
      <c r="N53" s="315"/>
      <c r="O53" s="317"/>
    </row>
    <row r="54" spans="1:15" ht="15.75" customHeight="1">
      <c r="A54" s="315"/>
      <c r="B54" s="315"/>
      <c r="C54" s="315"/>
      <c r="D54" s="315"/>
      <c r="E54" s="406"/>
      <c r="F54" s="406"/>
      <c r="G54" s="406"/>
      <c r="H54" s="315"/>
      <c r="I54" s="406"/>
      <c r="J54" s="315"/>
      <c r="K54" s="315"/>
      <c r="L54" s="317"/>
      <c r="M54" s="317"/>
      <c r="N54" s="315"/>
      <c r="O54" s="317"/>
    </row>
    <row r="55" spans="1:15" ht="15.75" customHeight="1">
      <c r="A55" s="315"/>
      <c r="B55" s="315"/>
      <c r="C55" s="315"/>
      <c r="D55" s="315"/>
      <c r="E55" s="406"/>
      <c r="F55" s="406"/>
      <c r="G55" s="406"/>
      <c r="H55" s="315"/>
      <c r="I55" s="406"/>
      <c r="J55" s="315"/>
      <c r="K55" s="315"/>
      <c r="L55" s="317"/>
      <c r="M55" s="317"/>
      <c r="N55" s="315"/>
      <c r="O55" s="317"/>
    </row>
    <row r="56" spans="1:15" ht="15.75" customHeight="1">
      <c r="A56" s="315"/>
      <c r="B56" s="279" t="s">
        <v>461</v>
      </c>
      <c r="C56" s="279"/>
      <c r="D56" s="85"/>
      <c r="E56" s="85"/>
      <c r="F56" s="85"/>
      <c r="G56" s="406"/>
      <c r="H56" s="315"/>
      <c r="I56" s="406"/>
      <c r="J56" s="315"/>
      <c r="K56" s="315"/>
      <c r="L56" s="317"/>
      <c r="M56" s="317"/>
      <c r="N56" s="315"/>
      <c r="O56" s="317"/>
    </row>
    <row r="57" spans="1:15" ht="15.75" customHeight="1">
      <c r="A57" s="315"/>
      <c r="B57" s="314">
        <v>1</v>
      </c>
      <c r="C57" s="85" t="s">
        <v>396</v>
      </c>
      <c r="D57" s="85"/>
      <c r="E57" s="85"/>
      <c r="F57" s="85"/>
      <c r="G57" s="406"/>
      <c r="H57" s="315"/>
      <c r="I57" s="406"/>
      <c r="J57" s="315"/>
      <c r="K57" s="315"/>
      <c r="L57" s="308">
        <f>IF('Data Entry'!I20&gt;0,IF('Data Entry'!I20&lt;100,L9,IF('Data Entry'!I20&lt;500,L17,IF('Data Entry'!I20&lt;600,L25,L27))),0)</f>
        <v>0</v>
      </c>
      <c r="M57" s="317"/>
      <c r="N57" s="104">
        <f>IF('Data Entry'!L20&gt;0,IF('Data Entry'!L20&lt;100,N9,IF('Data Entry'!L20&lt;500,N17,IF('Data Entry'!L20&lt;600,N25,N27))),0)</f>
        <v>1.268</v>
      </c>
      <c r="O57" s="317"/>
    </row>
    <row r="58" spans="1:15" ht="15.75" customHeight="1">
      <c r="A58" s="315"/>
      <c r="B58" s="314">
        <v>2</v>
      </c>
      <c r="C58" s="85" t="s">
        <v>397</v>
      </c>
      <c r="D58" s="85"/>
      <c r="E58" s="85"/>
      <c r="F58" s="85"/>
      <c r="G58" s="406"/>
      <c r="H58" s="315"/>
      <c r="I58" s="406"/>
      <c r="J58" s="315"/>
      <c r="K58" s="315"/>
      <c r="L58" s="104">
        <f>IF(AND('Data Entry'!I29=0,'Data Entry'!$A$7="X"),1.158,IF('Data Entry'!I29&gt;0,IF('Data Entry'!I29&lt;100,L34,IF('Data Entry'!I29&lt;500,L42,IF('Data Entry'!I29&lt;600,L50,L52))),0))</f>
        <v>0</v>
      </c>
      <c r="M58" s="317"/>
      <c r="N58" s="104">
        <f>IF(AND('Data Entry'!L29=0,'Data Entry'!$A$7="X"),1.268,IF('Data Entry'!L29&gt;0,IF('Data Entry'!L29&lt;100,N34,IF('Data Entry'!L29&lt;500,N42,IF('Data Entry'!L29&lt;600,N50,N52))),0))</f>
        <v>0</v>
      </c>
      <c r="O58" s="317"/>
    </row>
    <row r="59" spans="1:15" ht="15.75" customHeight="1">
      <c r="A59" s="315"/>
      <c r="B59" s="314">
        <v>3</v>
      </c>
      <c r="C59" s="301" t="s">
        <v>413</v>
      </c>
      <c r="D59" s="301"/>
      <c r="E59" s="301"/>
      <c r="F59" s="301"/>
      <c r="G59" s="406"/>
      <c r="H59" s="315"/>
      <c r="I59" s="406"/>
      <c r="J59" s="315"/>
      <c r="K59" s="315"/>
      <c r="L59" s="356">
        <f>IF('Data Entry'!$A$7="X",L57-L58,0)</f>
        <v>0</v>
      </c>
      <c r="M59" s="317"/>
      <c r="N59" s="356">
        <f>IF('Data Entry'!$A$7="X",N57-N58,0)</f>
        <v>0</v>
      </c>
      <c r="O59" s="317"/>
    </row>
    <row r="60" spans="1:15" ht="15.75" customHeight="1">
      <c r="A60" s="315"/>
      <c r="B60" s="315"/>
      <c r="C60" s="315"/>
      <c r="D60" s="315"/>
      <c r="E60" s="406"/>
      <c r="F60" s="406"/>
      <c r="G60" s="406"/>
      <c r="H60" s="315"/>
      <c r="I60" s="406"/>
      <c r="J60" s="315"/>
      <c r="K60" s="315"/>
      <c r="L60" s="317"/>
      <c r="M60" s="317"/>
      <c r="N60" s="315"/>
      <c r="O60" s="317"/>
    </row>
    <row r="61" spans="1:15" ht="15.75" customHeight="1">
      <c r="A61" s="315"/>
      <c r="B61" s="315"/>
      <c r="C61" s="315"/>
      <c r="D61" s="315"/>
      <c r="E61" s="406"/>
      <c r="F61" s="406"/>
      <c r="G61" s="406"/>
      <c r="H61" s="315"/>
      <c r="I61" s="406"/>
      <c r="J61" s="315"/>
      <c r="K61" s="315"/>
      <c r="L61" s="317"/>
      <c r="M61" s="317"/>
      <c r="N61" s="315"/>
      <c r="O61" s="317"/>
    </row>
    <row r="63" spans="1:14" ht="12.75">
      <c r="A63" s="313"/>
      <c r="B63" s="279" t="s">
        <v>460</v>
      </c>
      <c r="D63" s="313"/>
      <c r="E63" s="313"/>
      <c r="F63" s="313"/>
      <c r="G63" s="313"/>
      <c r="H63" s="297"/>
      <c r="I63" s="297"/>
      <c r="J63" s="297"/>
      <c r="L63" s="316" t="s">
        <v>332</v>
      </c>
      <c r="M63" s="297"/>
      <c r="N63" s="317" t="s">
        <v>333</v>
      </c>
    </row>
    <row r="64" spans="2:16" ht="12.75">
      <c r="B64" s="449">
        <v>1</v>
      </c>
      <c r="C64" s="297" t="s">
        <v>345</v>
      </c>
      <c r="D64" s="297"/>
      <c r="E64" s="297"/>
      <c r="F64" s="297"/>
      <c r="G64" s="297"/>
      <c r="H64" s="297"/>
      <c r="I64" s="297"/>
      <c r="J64" s="297"/>
      <c r="L64" s="444">
        <f>'Data Entry'!I17</f>
        <v>0</v>
      </c>
      <c r="N64" s="444">
        <f>'Data Entry'!L17</f>
        <v>110</v>
      </c>
      <c r="P64" s="425"/>
    </row>
    <row r="65" spans="2:16" ht="12.75">
      <c r="B65" s="449">
        <v>2</v>
      </c>
      <c r="C65" s="297" t="s">
        <v>443</v>
      </c>
      <c r="D65" s="297"/>
      <c r="E65" s="297"/>
      <c r="F65" s="297"/>
      <c r="G65" s="297"/>
      <c r="H65" s="297"/>
      <c r="I65" s="297"/>
      <c r="J65" s="297"/>
      <c r="L65" s="445">
        <f>'Data Entry'!I18*95%</f>
        <v>0</v>
      </c>
      <c r="N65" s="446">
        <f>'Data Entry'!L18*95%</f>
        <v>438.9</v>
      </c>
      <c r="P65" s="425"/>
    </row>
    <row r="66" spans="2:14" ht="12.75">
      <c r="B66" s="449">
        <v>3</v>
      </c>
      <c r="C66" s="297" t="s">
        <v>444</v>
      </c>
      <c r="D66" s="297"/>
      <c r="E66" s="297"/>
      <c r="F66" s="297"/>
      <c r="G66" s="297"/>
      <c r="H66" s="297"/>
      <c r="I66" s="297"/>
      <c r="L66" s="446">
        <f>'Data Entry'!I19*85%</f>
        <v>0</v>
      </c>
      <c r="N66" s="446">
        <f>'Data Entry'!L19*85%</f>
        <v>32.3</v>
      </c>
    </row>
    <row r="67" spans="2:14" ht="12.75">
      <c r="B67" s="314">
        <v>4</v>
      </c>
      <c r="C67" s="297" t="s">
        <v>401</v>
      </c>
      <c r="D67" s="297"/>
      <c r="E67" s="297"/>
      <c r="F67" s="297"/>
      <c r="G67" s="297"/>
      <c r="H67" s="297"/>
      <c r="I67" s="297"/>
      <c r="L67" s="445">
        <f>SUM(L64:L66)</f>
        <v>0</v>
      </c>
      <c r="N67" s="445">
        <f>SUM(N64:N66)</f>
        <v>581.2</v>
      </c>
    </row>
    <row r="68" spans="2:14" ht="12.75">
      <c r="B68" s="314">
        <v>5</v>
      </c>
      <c r="C68" s="297" t="s">
        <v>398</v>
      </c>
      <c r="D68" s="297"/>
      <c r="E68" s="297"/>
      <c r="F68" s="297"/>
      <c r="G68" s="297"/>
      <c r="H68" s="297"/>
      <c r="I68" s="297"/>
      <c r="L68" s="445">
        <f>L59</f>
        <v>0</v>
      </c>
      <c r="N68" s="445">
        <f>N59</f>
        <v>0</v>
      </c>
    </row>
    <row r="69" spans="2:14" ht="12.75">
      <c r="B69" s="314">
        <v>6</v>
      </c>
      <c r="C69" s="297" t="s">
        <v>399</v>
      </c>
      <c r="D69" s="297"/>
      <c r="E69" s="297"/>
      <c r="F69" s="297"/>
      <c r="G69" s="297"/>
      <c r="H69" s="297"/>
      <c r="I69" s="297"/>
      <c r="L69" s="445">
        <f>L67*L68</f>
        <v>0</v>
      </c>
      <c r="N69" s="445">
        <f>N67*N68</f>
        <v>0</v>
      </c>
    </row>
    <row r="70" spans="2:14" ht="12.75">
      <c r="B70" s="314">
        <v>7</v>
      </c>
      <c r="C70" s="297" t="s">
        <v>523</v>
      </c>
      <c r="D70" s="297"/>
      <c r="E70" s="297"/>
      <c r="F70" s="297"/>
      <c r="G70" s="297"/>
      <c r="H70" s="297"/>
      <c r="I70" s="297"/>
      <c r="K70" s="347" t="s">
        <v>4</v>
      </c>
      <c r="L70" s="494">
        <f>IF('Data Entry'!C61="X",(4150.43*0.05)+4150.43,4150.43)</f>
        <v>4150.43</v>
      </c>
      <c r="M70" s="495" t="s">
        <v>4</v>
      </c>
      <c r="N70" s="494">
        <f>IF('Data Entry'!C61="X",(4150.43*0.05)+4150.43,4150.43)</f>
        <v>4150.43</v>
      </c>
    </row>
    <row r="71" spans="2:14" ht="12.75">
      <c r="B71" s="314">
        <v>8</v>
      </c>
      <c r="C71" s="297" t="s">
        <v>449</v>
      </c>
      <c r="D71" s="297"/>
      <c r="E71" s="297"/>
      <c r="F71" s="297"/>
      <c r="G71" s="297"/>
      <c r="H71" s="297"/>
      <c r="I71" s="297"/>
      <c r="K71" s="347" t="s">
        <v>4</v>
      </c>
      <c r="L71" s="334">
        <f>L69*L70</f>
        <v>0</v>
      </c>
      <c r="M71" s="347" t="s">
        <v>4</v>
      </c>
      <c r="N71" s="334">
        <f>N69*N70</f>
        <v>0</v>
      </c>
    </row>
    <row r="72" spans="2:14" ht="13.5" thickBot="1">
      <c r="B72" s="314">
        <v>9</v>
      </c>
      <c r="C72" s="297" t="s">
        <v>400</v>
      </c>
      <c r="D72" s="297"/>
      <c r="E72" s="297"/>
      <c r="F72" s="297"/>
      <c r="G72" s="297"/>
      <c r="H72" s="297"/>
      <c r="I72" s="297"/>
      <c r="M72" s="347" t="s">
        <v>4</v>
      </c>
      <c r="N72" s="340">
        <f>L71+N71</f>
        <v>0</v>
      </c>
    </row>
    <row r="73" ht="12.75" thickTop="1"/>
    <row r="74" spans="1:6" ht="12.75">
      <c r="A74" s="313"/>
      <c r="C74" s="313"/>
      <c r="D74" s="313"/>
      <c r="E74" s="313"/>
      <c r="F74" s="313"/>
    </row>
    <row r="75" spans="1:31" ht="12.75">
      <c r="A75" s="313"/>
      <c r="B75" s="427" t="s">
        <v>459</v>
      </c>
      <c r="C75" s="313"/>
      <c r="D75" s="313"/>
      <c r="E75" s="313"/>
      <c r="F75" s="313"/>
      <c r="T75" s="537"/>
      <c r="U75" s="537"/>
      <c r="V75" s="537"/>
      <c r="W75" s="537"/>
      <c r="X75" s="537"/>
      <c r="Y75" s="537"/>
      <c r="Z75" s="537"/>
      <c r="AA75" s="537"/>
      <c r="AB75" s="537"/>
      <c r="AC75" s="537"/>
      <c r="AD75" s="537"/>
      <c r="AE75" s="537"/>
    </row>
    <row r="76" spans="2:16" ht="12.75" customHeight="1">
      <c r="B76" s="677" t="s">
        <v>478</v>
      </c>
      <c r="C76" s="677"/>
      <c r="D76" s="677"/>
      <c r="E76" s="677"/>
      <c r="F76" s="677"/>
      <c r="G76" s="677"/>
      <c r="H76" s="677"/>
      <c r="I76" s="677"/>
      <c r="J76" s="677"/>
      <c r="K76" s="677"/>
      <c r="L76" s="677"/>
      <c r="M76" s="677"/>
      <c r="N76" s="677"/>
      <c r="O76" s="677"/>
      <c r="P76" s="425"/>
    </row>
    <row r="77" spans="2:16" ht="12.75" customHeight="1">
      <c r="B77" s="677"/>
      <c r="C77" s="677"/>
      <c r="D77" s="677"/>
      <c r="E77" s="677"/>
      <c r="F77" s="677"/>
      <c r="G77" s="677"/>
      <c r="H77" s="677"/>
      <c r="I77" s="677"/>
      <c r="J77" s="677"/>
      <c r="K77" s="677"/>
      <c r="L77" s="677"/>
      <c r="M77" s="677"/>
      <c r="N77" s="677"/>
      <c r="O77" s="677"/>
      <c r="P77" s="425"/>
    </row>
    <row r="78" spans="2:16" ht="12.75" customHeight="1">
      <c r="B78" s="677"/>
      <c r="C78" s="677"/>
      <c r="D78" s="677"/>
      <c r="E78" s="677"/>
      <c r="F78" s="677"/>
      <c r="G78" s="677"/>
      <c r="H78" s="677"/>
      <c r="I78" s="677"/>
      <c r="J78" s="677"/>
      <c r="K78" s="677"/>
      <c r="L78" s="677"/>
      <c r="M78" s="677"/>
      <c r="N78" s="677"/>
      <c r="O78" s="677"/>
      <c r="P78" s="425"/>
    </row>
    <row r="79" spans="2:16" ht="12.75" customHeight="1">
      <c r="B79" s="677"/>
      <c r="C79" s="677"/>
      <c r="D79" s="677"/>
      <c r="E79" s="677"/>
      <c r="F79" s="677"/>
      <c r="G79" s="677"/>
      <c r="H79" s="677"/>
      <c r="I79" s="677"/>
      <c r="J79" s="677"/>
      <c r="K79" s="677"/>
      <c r="L79" s="677"/>
      <c r="M79" s="677"/>
      <c r="N79" s="677"/>
      <c r="O79" s="677"/>
      <c r="P79" s="425"/>
    </row>
    <row r="80" spans="2:16" ht="12.75" customHeight="1">
      <c r="B80" s="677"/>
      <c r="C80" s="677"/>
      <c r="D80" s="677"/>
      <c r="E80" s="677"/>
      <c r="F80" s="677"/>
      <c r="G80" s="677"/>
      <c r="H80" s="677"/>
      <c r="I80" s="677"/>
      <c r="J80" s="677"/>
      <c r="K80" s="677"/>
      <c r="L80" s="677"/>
      <c r="M80" s="677"/>
      <c r="N80" s="677"/>
      <c r="O80" s="677"/>
      <c r="P80" s="425"/>
    </row>
    <row r="81" spans="2:16" ht="12.75" customHeight="1">
      <c r="B81" s="677"/>
      <c r="C81" s="677"/>
      <c r="D81" s="677"/>
      <c r="E81" s="677"/>
      <c r="F81" s="677"/>
      <c r="G81" s="677"/>
      <c r="H81" s="677"/>
      <c r="I81" s="677"/>
      <c r="J81" s="677"/>
      <c r="K81" s="677"/>
      <c r="L81" s="677"/>
      <c r="M81" s="677"/>
      <c r="N81" s="677"/>
      <c r="O81" s="677"/>
      <c r="P81" s="425"/>
    </row>
    <row r="82" spans="2:16" ht="12.75" customHeight="1">
      <c r="B82" s="450"/>
      <c r="C82" s="450"/>
      <c r="D82" s="450"/>
      <c r="E82" s="450"/>
      <c r="F82" s="450"/>
      <c r="G82" s="450"/>
      <c r="H82" s="450"/>
      <c r="I82" s="450"/>
      <c r="J82" s="450"/>
      <c r="K82" s="450"/>
      <c r="L82" s="450"/>
      <c r="M82" s="450"/>
      <c r="N82" s="450"/>
      <c r="O82" s="450"/>
      <c r="P82" s="425"/>
    </row>
    <row r="83" spans="2:26" ht="12.75">
      <c r="B83" s="686" t="s">
        <v>360</v>
      </c>
      <c r="C83" s="686"/>
      <c r="D83" s="686"/>
      <c r="E83" s="686"/>
      <c r="F83" s="686"/>
      <c r="G83" s="686"/>
      <c r="H83" s="297"/>
      <c r="M83" s="347"/>
      <c r="N83" s="341"/>
      <c r="V83" s="302"/>
      <c r="W83" s="302"/>
      <c r="X83" s="302"/>
      <c r="Y83" s="302"/>
      <c r="Z83" s="302"/>
    </row>
    <row r="84" spans="2:18" ht="12.75" customHeight="1">
      <c r="B84" s="297"/>
      <c r="C84" s="297"/>
      <c r="D84" s="297"/>
      <c r="E84" s="371"/>
      <c r="F84" s="318" t="s">
        <v>350</v>
      </c>
      <c r="G84" s="429" t="s">
        <v>349</v>
      </c>
      <c r="H84" s="431"/>
      <c r="M84" s="347"/>
      <c r="N84" s="341"/>
      <c r="R84" s="371"/>
    </row>
    <row r="85" spans="2:18" ht="12.75">
      <c r="B85" s="297" t="s">
        <v>361</v>
      </c>
      <c r="C85" s="297"/>
      <c r="D85" s="297"/>
      <c r="E85" s="329"/>
      <c r="F85" s="319">
        <f>'Data Entry'!I39*0.06</f>
        <v>0</v>
      </c>
      <c r="G85" s="430">
        <f>'Data Entry'!I38*0.04</f>
        <v>0</v>
      </c>
      <c r="H85" s="432"/>
      <c r="N85" s="408"/>
      <c r="R85" s="329"/>
    </row>
    <row r="86" spans="2:18" ht="12.75" customHeight="1">
      <c r="B86" s="297" t="s">
        <v>362</v>
      </c>
      <c r="C86" s="297"/>
      <c r="D86" s="297"/>
      <c r="E86" s="329"/>
      <c r="F86" s="319">
        <f>'Data Entry'!J39*0.06*0.95</f>
        <v>0</v>
      </c>
      <c r="G86" s="430">
        <f>'Data Entry'!J38*0.04*0.95</f>
        <v>0</v>
      </c>
      <c r="H86" s="432"/>
      <c r="M86" s="347"/>
      <c r="N86" s="341"/>
      <c r="Q86" s="297"/>
      <c r="R86" s="329"/>
    </row>
    <row r="87" spans="2:18" ht="12.75" customHeight="1">
      <c r="B87" s="297" t="s">
        <v>363</v>
      </c>
      <c r="C87" s="433"/>
      <c r="D87" s="433"/>
      <c r="E87" s="329"/>
      <c r="F87" s="319">
        <f>'Data Entry'!K39*0.06*0.85</f>
        <v>0</v>
      </c>
      <c r="G87" s="430">
        <f>'Data Entry'!K38*0.04*0.85</f>
        <v>0</v>
      </c>
      <c r="H87" s="432"/>
      <c r="I87" s="297"/>
      <c r="L87" s="85" t="s">
        <v>350</v>
      </c>
      <c r="M87" s="443" t="s">
        <v>4</v>
      </c>
      <c r="N87" s="441">
        <f>L70*F88</f>
        <v>0</v>
      </c>
      <c r="Q87" s="371"/>
      <c r="R87" s="329"/>
    </row>
    <row r="88" spans="2:18" ht="12.75">
      <c r="B88" s="297" t="s">
        <v>202</v>
      </c>
      <c r="C88" s="433"/>
      <c r="D88" s="433"/>
      <c r="E88" s="329"/>
      <c r="F88" s="319">
        <f>SUM(F85:F87)</f>
        <v>0</v>
      </c>
      <c r="G88" s="430">
        <f>SUM(G85:G87)</f>
        <v>0</v>
      </c>
      <c r="H88" s="432"/>
      <c r="I88" s="297"/>
      <c r="L88" s="85" t="s">
        <v>349</v>
      </c>
      <c r="M88" s="443" t="s">
        <v>4</v>
      </c>
      <c r="N88" s="442">
        <f>L70*G88</f>
        <v>0</v>
      </c>
      <c r="P88" s="297"/>
      <c r="Q88" s="329"/>
      <c r="R88" s="329"/>
    </row>
    <row r="89" spans="2:17" ht="12.75" customHeight="1">
      <c r="B89" s="433"/>
      <c r="C89" s="433"/>
      <c r="D89" s="433"/>
      <c r="E89" s="297"/>
      <c r="F89" s="433"/>
      <c r="G89" s="433"/>
      <c r="H89" s="433"/>
      <c r="I89" s="297"/>
      <c r="M89" s="347"/>
      <c r="N89" s="341"/>
      <c r="P89" s="297"/>
      <c r="Q89" s="329"/>
    </row>
    <row r="90" spans="1:17" ht="12.75" customHeight="1">
      <c r="A90" s="434"/>
      <c r="B90" s="687" t="s">
        <v>364</v>
      </c>
      <c r="C90" s="687"/>
      <c r="D90" s="687"/>
      <c r="E90" s="687"/>
      <c r="F90" s="687"/>
      <c r="G90" s="687"/>
      <c r="H90" s="433"/>
      <c r="I90" s="297"/>
      <c r="M90" s="347"/>
      <c r="N90" s="341"/>
      <c r="P90" s="297"/>
      <c r="Q90" s="329"/>
    </row>
    <row r="91" spans="1:17" ht="12.75">
      <c r="A91" s="117"/>
      <c r="B91" s="687"/>
      <c r="C91" s="687"/>
      <c r="D91" s="687"/>
      <c r="E91" s="687"/>
      <c r="F91" s="687"/>
      <c r="G91" s="687"/>
      <c r="H91" s="297"/>
      <c r="I91" s="297"/>
      <c r="M91" s="347"/>
      <c r="N91" s="341"/>
      <c r="P91" s="297"/>
      <c r="Q91" s="329"/>
    </row>
    <row r="92" spans="1:18" ht="12.75" customHeight="1">
      <c r="A92" s="117"/>
      <c r="B92" s="117"/>
      <c r="C92" s="117"/>
      <c r="M92" s="342"/>
      <c r="N92" s="426"/>
      <c r="P92" s="675"/>
      <c r="Q92" s="675"/>
      <c r="R92" s="675"/>
    </row>
    <row r="93" spans="1:18" ht="12.75" customHeight="1">
      <c r="A93" s="117"/>
      <c r="B93" s="117"/>
      <c r="C93" s="117"/>
      <c r="D93" s="297"/>
      <c r="F93" s="314"/>
      <c r="G93" s="297"/>
      <c r="H93" s="297"/>
      <c r="I93" s="297"/>
      <c r="L93" s="85"/>
      <c r="M93" s="347"/>
      <c r="N93" s="428"/>
      <c r="P93" s="675"/>
      <c r="Q93" s="675"/>
      <c r="R93" s="675"/>
    </row>
    <row r="94" spans="1:18" ht="12.75">
      <c r="A94" s="117"/>
      <c r="B94" s="117"/>
      <c r="C94" s="117"/>
      <c r="L94" s="85"/>
      <c r="M94" s="347"/>
      <c r="N94" s="428"/>
      <c r="P94" s="320"/>
      <c r="Q94" s="320"/>
      <c r="R94" s="320"/>
    </row>
    <row r="95" spans="1:18" ht="12.75">
      <c r="A95" s="117"/>
      <c r="B95" s="117"/>
      <c r="C95" s="117"/>
      <c r="L95" s="85"/>
      <c r="M95" s="347"/>
      <c r="N95" s="333"/>
      <c r="P95" s="320"/>
      <c r="Q95" s="320"/>
      <c r="R95" s="320"/>
    </row>
    <row r="96" spans="1:12" ht="12.75">
      <c r="A96" s="313" t="s">
        <v>524</v>
      </c>
      <c r="C96" s="313"/>
      <c r="D96" s="313"/>
      <c r="E96" s="313"/>
      <c r="F96" s="313"/>
      <c r="G96" s="313"/>
      <c r="H96" s="313"/>
      <c r="I96" s="313"/>
      <c r="J96" s="313"/>
      <c r="K96" s="313"/>
      <c r="L96" s="313"/>
    </row>
    <row r="97" spans="1:15" ht="12.75" customHeight="1">
      <c r="A97" s="681" t="s">
        <v>525</v>
      </c>
      <c r="B97" s="681"/>
      <c r="C97" s="681"/>
      <c r="D97" s="681"/>
      <c r="E97" s="681"/>
      <c r="F97" s="681"/>
      <c r="G97" s="681"/>
      <c r="H97" s="681"/>
      <c r="I97" s="681"/>
      <c r="J97" s="681"/>
      <c r="K97" s="681"/>
      <c r="L97" s="681"/>
      <c r="M97" s="681"/>
      <c r="N97" s="681"/>
      <c r="O97" s="681"/>
    </row>
    <row r="98" spans="1:15" ht="12.75" customHeight="1">
      <c r="A98" s="681"/>
      <c r="B98" s="681"/>
      <c r="C98" s="681"/>
      <c r="D98" s="681"/>
      <c r="E98" s="681"/>
      <c r="F98" s="681"/>
      <c r="G98" s="681"/>
      <c r="H98" s="681"/>
      <c r="I98" s="681"/>
      <c r="J98" s="681"/>
      <c r="K98" s="681"/>
      <c r="L98" s="681"/>
      <c r="M98" s="681"/>
      <c r="N98" s="681"/>
      <c r="O98" s="681"/>
    </row>
    <row r="99" spans="1:15" ht="12.75" customHeight="1">
      <c r="A99" s="433"/>
      <c r="B99" s="433"/>
      <c r="C99" s="433"/>
      <c r="D99" s="433"/>
      <c r="E99" s="433"/>
      <c r="F99" s="433"/>
      <c r="G99" s="433"/>
      <c r="H99" s="433"/>
      <c r="I99" s="433"/>
      <c r="J99" s="433"/>
      <c r="K99" s="433"/>
      <c r="L99" s="433"/>
      <c r="M99" s="433"/>
      <c r="N99" s="433"/>
      <c r="O99" s="466"/>
    </row>
    <row r="100" spans="2:14" ht="12.75">
      <c r="B100" s="332"/>
      <c r="J100" s="316"/>
      <c r="L100" s="316" t="s">
        <v>332</v>
      </c>
      <c r="N100" s="316" t="s">
        <v>333</v>
      </c>
    </row>
    <row r="101" spans="2:14" ht="12.75">
      <c r="B101" s="424">
        <v>1</v>
      </c>
      <c r="C101" s="85" t="s">
        <v>521</v>
      </c>
      <c r="J101" s="408"/>
      <c r="K101" s="297" t="s">
        <v>4</v>
      </c>
      <c r="L101" s="339">
        <f>CHAR55!D128</f>
        <v>0</v>
      </c>
      <c r="M101" s="297" t="s">
        <v>4</v>
      </c>
      <c r="N101" s="339">
        <f>CHAR55!E128</f>
        <v>1310371.5</v>
      </c>
    </row>
    <row r="102" spans="2:14" ht="12.75">
      <c r="B102" s="314">
        <v>2</v>
      </c>
      <c r="C102" s="85" t="s">
        <v>440</v>
      </c>
      <c r="J102" s="341"/>
      <c r="K102" s="297" t="s">
        <v>4</v>
      </c>
      <c r="L102" s="334">
        <f>L101*0.018</f>
        <v>0</v>
      </c>
      <c r="M102" s="297" t="s">
        <v>4</v>
      </c>
      <c r="N102" s="334">
        <f>N101*0.018</f>
        <v>23586.69</v>
      </c>
    </row>
    <row r="103" spans="1:19" ht="15.75">
      <c r="A103" s="337"/>
      <c r="B103" s="335"/>
      <c r="C103" s="335"/>
      <c r="D103" s="335"/>
      <c r="E103" s="335"/>
      <c r="F103" s="335"/>
      <c r="G103" s="335"/>
      <c r="H103" s="335"/>
      <c r="I103" s="335"/>
      <c r="J103" s="335"/>
      <c r="K103" s="335"/>
      <c r="L103" s="335"/>
      <c r="N103" s="336"/>
      <c r="O103" s="336"/>
      <c r="S103" s="338"/>
    </row>
    <row r="104" spans="2:23" ht="12.75">
      <c r="B104" s="314"/>
      <c r="C104" s="297"/>
      <c r="D104" s="297"/>
      <c r="E104" s="297"/>
      <c r="F104" s="297"/>
      <c r="N104" s="341"/>
      <c r="W104" s="338"/>
    </row>
    <row r="105" spans="1:23" ht="12.75">
      <c r="A105" s="279" t="s">
        <v>462</v>
      </c>
      <c r="B105" s="279"/>
      <c r="C105" s="279"/>
      <c r="D105" s="279"/>
      <c r="E105" s="279"/>
      <c r="F105" s="279"/>
      <c r="G105" s="279"/>
      <c r="H105" s="279"/>
      <c r="I105" s="279"/>
      <c r="J105" s="279"/>
      <c r="K105" s="279"/>
      <c r="L105" s="279"/>
      <c r="N105" s="341"/>
      <c r="W105" s="338"/>
    </row>
    <row r="106" spans="1:23" ht="12.75" customHeight="1">
      <c r="A106" s="685" t="s">
        <v>445</v>
      </c>
      <c r="B106" s="685"/>
      <c r="C106" s="685"/>
      <c r="D106" s="685"/>
      <c r="E106" s="685"/>
      <c r="F106" s="685"/>
      <c r="G106" s="685"/>
      <c r="H106" s="685"/>
      <c r="I106" s="685"/>
      <c r="J106" s="685"/>
      <c r="K106" s="685"/>
      <c r="L106" s="685"/>
      <c r="M106" s="685"/>
      <c r="N106" s="685"/>
      <c r="O106" s="685"/>
      <c r="W106" s="338"/>
    </row>
    <row r="107" spans="1:23" ht="12.75" customHeight="1">
      <c r="A107" s="685"/>
      <c r="B107" s="685"/>
      <c r="C107" s="685"/>
      <c r="D107" s="685"/>
      <c r="E107" s="685"/>
      <c r="F107" s="685"/>
      <c r="G107" s="685"/>
      <c r="H107" s="685"/>
      <c r="I107" s="685"/>
      <c r="J107" s="685"/>
      <c r="K107" s="685"/>
      <c r="L107" s="685"/>
      <c r="M107" s="685"/>
      <c r="N107" s="685"/>
      <c r="O107" s="685"/>
      <c r="W107" s="338"/>
    </row>
    <row r="108" spans="1:23" ht="12.75" customHeight="1">
      <c r="A108" s="685"/>
      <c r="B108" s="685"/>
      <c r="C108" s="685"/>
      <c r="D108" s="685"/>
      <c r="E108" s="685"/>
      <c r="F108" s="685"/>
      <c r="G108" s="685"/>
      <c r="H108" s="685"/>
      <c r="I108" s="685"/>
      <c r="J108" s="685"/>
      <c r="K108" s="685"/>
      <c r="L108" s="685"/>
      <c r="M108" s="685"/>
      <c r="N108" s="685"/>
      <c r="O108" s="685"/>
      <c r="W108" s="338"/>
    </row>
    <row r="109" spans="1:23" ht="12.75" customHeight="1">
      <c r="A109" s="685"/>
      <c r="B109" s="685"/>
      <c r="C109" s="685"/>
      <c r="D109" s="685"/>
      <c r="E109" s="685"/>
      <c r="F109" s="685"/>
      <c r="G109" s="685"/>
      <c r="H109" s="685"/>
      <c r="I109" s="685"/>
      <c r="J109" s="685"/>
      <c r="K109" s="685"/>
      <c r="L109" s="685"/>
      <c r="M109" s="685"/>
      <c r="N109" s="685"/>
      <c r="O109" s="685"/>
      <c r="W109" s="338"/>
    </row>
    <row r="110" spans="1:23" ht="12.75">
      <c r="A110" s="281"/>
      <c r="B110" s="281"/>
      <c r="C110" s="281"/>
      <c r="D110" s="281"/>
      <c r="E110" s="281"/>
      <c r="F110" s="281"/>
      <c r="G110" s="281"/>
      <c r="H110" s="281"/>
      <c r="I110" s="281"/>
      <c r="J110" s="281"/>
      <c r="K110" s="281"/>
      <c r="L110" s="281"/>
      <c r="N110" s="341"/>
      <c r="W110" s="338"/>
    </row>
    <row r="111" spans="2:25" ht="12.75">
      <c r="B111" s="424">
        <v>1</v>
      </c>
      <c r="C111" s="85" t="s">
        <v>417</v>
      </c>
      <c r="D111" s="297"/>
      <c r="E111" s="297"/>
      <c r="F111" s="297"/>
      <c r="M111" s="443" t="s">
        <v>4</v>
      </c>
      <c r="N111" s="441">
        <f>50000000*'Data Entry'!N76</f>
        <v>26000</v>
      </c>
      <c r="T111" s="342"/>
      <c r="X111" s="680"/>
      <c r="Y111" s="680"/>
    </row>
    <row r="112" spans="2:14" ht="12.75">
      <c r="B112" s="314"/>
      <c r="C112" s="297"/>
      <c r="D112" s="297"/>
      <c r="E112" s="297"/>
      <c r="F112" s="297"/>
      <c r="N112" s="341"/>
    </row>
    <row r="114" ht="12.75">
      <c r="A114" s="279" t="s">
        <v>532</v>
      </c>
    </row>
    <row r="115" spans="2:14" ht="12.75">
      <c r="B115" s="424">
        <v>1</v>
      </c>
      <c r="C115" s="85" t="s">
        <v>528</v>
      </c>
      <c r="M115" s="443" t="s">
        <v>4</v>
      </c>
      <c r="N115" s="441">
        <f>CHAR55!C135</f>
        <v>4386471.34</v>
      </c>
    </row>
    <row r="116" spans="2:14" ht="12.75">
      <c r="B116" s="424">
        <v>2</v>
      </c>
      <c r="C116" s="85" t="s">
        <v>400</v>
      </c>
      <c r="M116" s="443" t="s">
        <v>4</v>
      </c>
      <c r="N116" s="441">
        <f>N72</f>
        <v>0</v>
      </c>
    </row>
    <row r="117" spans="2:14" ht="12.75">
      <c r="B117" s="314">
        <v>3</v>
      </c>
      <c r="C117" s="85" t="s">
        <v>405</v>
      </c>
      <c r="M117" s="347" t="s">
        <v>4</v>
      </c>
      <c r="N117" s="441">
        <f>N115-N116</f>
        <v>4386471.34</v>
      </c>
    </row>
  </sheetData>
  <sheetProtection sheet="1" formatCells="0" formatColumns="0" formatRows="0"/>
  <mergeCells count="12">
    <mergeCell ref="B90:G91"/>
    <mergeCell ref="T75:AE75"/>
    <mergeCell ref="B76:O81"/>
    <mergeCell ref="L1:M1"/>
    <mergeCell ref="X111:Y111"/>
    <mergeCell ref="P92:R93"/>
    <mergeCell ref="A97:O98"/>
    <mergeCell ref="A1:D1"/>
    <mergeCell ref="E1:G1"/>
    <mergeCell ref="J1:K1"/>
    <mergeCell ref="A106:O109"/>
    <mergeCell ref="B83:G83"/>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2019-06-03T16:28:35Z</cp:lastPrinted>
  <dcterms:created xsi:type="dcterms:W3CDTF">1997-10-08T16:25:08Z</dcterms:created>
  <dcterms:modified xsi:type="dcterms:W3CDTF">2019-07-12T18:46:23Z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